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working\waccache\AM4PEPF0002D5F3\EXCELCNV\d79c8e5d-ad21-4b54-bf2c-cb5b376568d1\"/>
    </mc:Choice>
  </mc:AlternateContent>
  <xr:revisionPtr revIDLastSave="0" documentId="8_{5CE7EB34-D35E-4434-8318-6937AB9999D1}" xr6:coauthVersionLast="47" xr6:coauthVersionMax="47" xr10:uidLastSave="{00000000-0000-0000-0000-000000000000}"/>
  <bookViews>
    <workbookView xWindow="-60" yWindow="-60" windowWidth="15480" windowHeight="11640" tabRatio="838" firstSheet="5" activeTab="5" xr2:uid="{2D8FBCB9-A0C5-4D35-856A-BA709927D4A9}"/>
  </bookViews>
  <sheets>
    <sheet name="Prépa planning SURV. INTERNAT" sheetId="35" r:id="rId1"/>
    <sheet name="Base" sheetId="10" state="hidden" r:id="rId2"/>
    <sheet name="Rappels règles temps travail" sheetId="34" r:id="rId3"/>
    <sheet name="convertisseur de minutes" sheetId="36" r:id="rId4"/>
    <sheet name=" Horaires hors période scolaire" sheetId="42" r:id="rId5"/>
    <sheet name="Planning SURV INTERNAT 25-26 ZA" sheetId="30" r:id="rId6"/>
    <sheet name="Planning SURV INTERNAT 25-26 ZB" sheetId="39" r:id="rId7"/>
    <sheet name="Planning SURV INTERNAT 25-26 ZC" sheetId="41" r:id="rId8"/>
  </sheets>
  <externalReferences>
    <externalReference r:id="rId9"/>
    <externalReference r:id="rId10"/>
  </externalReferences>
  <definedNames>
    <definedName name="_1_PSAEE" localSheetId="4">#REF!</definedName>
    <definedName name="_1_PSAEE" localSheetId="3">#REF!</definedName>
    <definedName name="_1_PSAEE" localSheetId="0">#REF!</definedName>
    <definedName name="_1_PSAEE" localSheetId="2">#REF!</definedName>
    <definedName name="_1_PSAEE">#REF!</definedName>
    <definedName name="_2_EDUCATION_VIE_SCOLAIRE" localSheetId="4">#REF!</definedName>
    <definedName name="_2_EDUCATION_VIE_SCOLAIRE" localSheetId="3">#REF!</definedName>
    <definedName name="_2_EDUCATION_VIE_SCOLAIRE" localSheetId="0">#REF!</definedName>
    <definedName name="_2_EDUCATION_VIE_SCOLAIRE" localSheetId="2">#REF!</definedName>
    <definedName name="_2_EDUCATION_VIE_SCOLAIRE">#REF!</definedName>
    <definedName name="e">[1]Base!$A$4:$A$10</definedName>
    <definedName name="JEUDI" localSheetId="5">'Planning SURV INTERNAT 25-26 ZA'!$AM$10</definedName>
    <definedName name="JEUDI" localSheetId="6">'Planning SURV INTERNAT 25-26 ZB'!$AM$10</definedName>
    <definedName name="JEUDI" localSheetId="7">'Planning SURV INTERNAT 25-26 ZC'!$AM$10</definedName>
    <definedName name="JEUDI">'[2]Planning SURV INTERNAT 24-25 ZB'!$AD$10</definedName>
    <definedName name="JEUDIB">#REF!</definedName>
    <definedName name="JEUDIC">#REF!</definedName>
    <definedName name="LUNDI" localSheetId="5">'Planning SURV INTERNAT 25-26 ZA'!$AM$7</definedName>
    <definedName name="LUNDI" localSheetId="6">'Planning SURV INTERNAT 25-26 ZB'!$AM$7</definedName>
    <definedName name="LUNDI" localSheetId="7">'Planning SURV INTERNAT 25-26 ZC'!$AM$7</definedName>
    <definedName name="LUNDI">'[2]Planning SURV INTERNAT 24-25 ZB'!$AD$7</definedName>
    <definedName name="LUNDIB">#REF!</definedName>
    <definedName name="LUNDIC">#REF!</definedName>
    <definedName name="MARDI" localSheetId="5">'Planning SURV INTERNAT 25-26 ZA'!$AM$8</definedName>
    <definedName name="MARDI" localSheetId="6">'Planning SURV INTERNAT 25-26 ZB'!$AM$8</definedName>
    <definedName name="MARDI" localSheetId="7">'Planning SURV INTERNAT 25-26 ZC'!$AM$8</definedName>
    <definedName name="MARDI">'[2]Planning SURV INTERNAT 24-25 ZB'!$AD$8</definedName>
    <definedName name="MARDIB">#REF!</definedName>
    <definedName name="MARDIC">#REF!</definedName>
    <definedName name="MERCREDI" localSheetId="5">'Planning SURV INTERNAT 25-26 ZA'!$AM$9</definedName>
    <definedName name="MERCREDI" localSheetId="6">'Planning SURV INTERNAT 25-26 ZB'!$AM$9</definedName>
    <definedName name="MERCREDI" localSheetId="7">'Planning SURV INTERNAT 25-26 ZC'!$AM$9</definedName>
    <definedName name="MERCREDI">'[2]Planning SURV INTERNAT 24-25 ZB'!$AD$9</definedName>
    <definedName name="MERCREDIB">#REF!</definedName>
    <definedName name="MERCREDIC">#REF!</definedName>
    <definedName name="VENDREDI" localSheetId="5">'Planning SURV INTERNAT 25-26 ZA'!$AM$11</definedName>
    <definedName name="VENDREDI" localSheetId="6">'Planning SURV INTERNAT 25-26 ZB'!$AM$11</definedName>
    <definedName name="VENDREDI" localSheetId="7">'Planning SURV INTERNAT 25-26 ZC'!$AM$11</definedName>
    <definedName name="VENDREDI">'[2]Planning SURV INTERNAT 24-25 ZB'!$AD$11</definedName>
    <definedName name="VENDREDIB">#REF!</definedName>
    <definedName name="VENDREDIC">#REF!</definedName>
    <definedName name="_xlnm.Print_Area" localSheetId="5">'Planning SURV INTERNAT 25-26 ZA'!$A$1:$AV$68</definedName>
    <definedName name="_xlnm.Print_Area" localSheetId="6">'Planning SURV INTERNAT 25-26 ZB'!$A$1:$AV$68</definedName>
    <definedName name="_xlnm.Print_Area" localSheetId="7">'Planning SURV INTERNAT 25-26 ZC'!$A$1:$AV$68</definedName>
    <definedName name="_xlnm.Print_Area" localSheetId="0">'Prépa planning SURV. INTERNAT'!$A$1:$L$93</definedName>
    <definedName name="_xlnm.Print_Area" localSheetId="2">'Rappels règles temps travail'!$A$1:$N$38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50" i="30" l="1"/>
  <c r="C50" i="39"/>
  <c r="O54" i="39"/>
  <c r="C50" i="41"/>
  <c r="O54" i="41"/>
  <c r="AU50" i="41"/>
  <c r="AU50" i="39"/>
  <c r="AQ46" i="41"/>
  <c r="AU36" i="39"/>
  <c r="AE33" i="39"/>
  <c r="AE25" i="30"/>
  <c r="G40" i="30"/>
  <c r="N10" i="42"/>
  <c r="AU23" i="41"/>
  <c r="N9" i="42"/>
  <c r="AQ39" i="41"/>
  <c r="N8" i="42"/>
  <c r="W41" i="41"/>
  <c r="N7" i="42"/>
  <c r="AU41" i="41"/>
  <c r="N6" i="42"/>
  <c r="AU40" i="41"/>
  <c r="U5" i="42"/>
  <c r="N5" i="42"/>
  <c r="AU46" i="41"/>
  <c r="E64" i="41"/>
  <c r="AC61" i="41"/>
  <c r="AN59" i="41"/>
  <c r="AS57" i="41"/>
  <c r="AJ57" i="41"/>
  <c r="AM46" i="41"/>
  <c r="AR12" i="41"/>
  <c r="AM12" i="41"/>
  <c r="G18" i="41"/>
  <c r="AH12" i="41"/>
  <c r="AR11" i="41"/>
  <c r="AM11" i="41"/>
  <c r="AE31" i="41"/>
  <c r="AH11" i="41"/>
  <c r="AR10" i="41"/>
  <c r="AM10" i="41"/>
  <c r="W33" i="41"/>
  <c r="AH10" i="41"/>
  <c r="AZ9" i="41"/>
  <c r="AR9" i="41"/>
  <c r="AM9" i="41"/>
  <c r="W32" i="41"/>
  <c r="AH9" i="41"/>
  <c r="AR8" i="41"/>
  <c r="AM8" i="41"/>
  <c r="W31" i="41"/>
  <c r="AH8" i="41"/>
  <c r="AR7" i="41"/>
  <c r="AM7" i="41"/>
  <c r="AE27" i="41"/>
  <c r="AH7" i="41"/>
  <c r="W2" i="41"/>
  <c r="F2" i="41"/>
  <c r="W1" i="41"/>
  <c r="F1" i="41"/>
  <c r="E64" i="39"/>
  <c r="AC61" i="39"/>
  <c r="AN59" i="39"/>
  <c r="AS57" i="39"/>
  <c r="AJ57" i="39"/>
  <c r="AM46" i="39"/>
  <c r="AR12" i="39"/>
  <c r="AM12" i="39"/>
  <c r="K43" i="39"/>
  <c r="AH12" i="39"/>
  <c r="AR11" i="39"/>
  <c r="AM11" i="39"/>
  <c r="W27" i="39"/>
  <c r="AH11" i="39"/>
  <c r="AR10" i="39"/>
  <c r="AM10" i="39"/>
  <c r="W26" i="39"/>
  <c r="AH10" i="39"/>
  <c r="AZ9" i="39"/>
  <c r="AR9" i="39"/>
  <c r="AM9" i="39"/>
  <c r="AM24" i="39"/>
  <c r="AH9" i="39"/>
  <c r="AR8" i="39"/>
  <c r="AM8" i="39"/>
  <c r="AA38" i="39"/>
  <c r="AH8" i="39"/>
  <c r="AR7" i="39"/>
  <c r="AM7" i="39"/>
  <c r="C43" i="39"/>
  <c r="AH7" i="39"/>
  <c r="W2" i="39"/>
  <c r="F2" i="39"/>
  <c r="W1" i="39"/>
  <c r="F1" i="39"/>
  <c r="E4" i="36"/>
  <c r="AZ9" i="30"/>
  <c r="AC61" i="30"/>
  <c r="AN59" i="30"/>
  <c r="AJ57" i="30"/>
  <c r="E64" i="30"/>
  <c r="W2" i="30"/>
  <c r="W1" i="30"/>
  <c r="F2" i="30"/>
  <c r="F1" i="30"/>
  <c r="K65" i="35"/>
  <c r="O48" i="35"/>
  <c r="O50" i="35"/>
  <c r="O52" i="35"/>
  <c r="O55" i="35"/>
  <c r="O56" i="35"/>
  <c r="N48" i="35"/>
  <c r="N50" i="35"/>
  <c r="N52" i="35"/>
  <c r="N55" i="35"/>
  <c r="N56" i="35"/>
  <c r="P46" i="35"/>
  <c r="P48" i="35"/>
  <c r="P50" i="35"/>
  <c r="H39" i="35"/>
  <c r="H45" i="35"/>
  <c r="AR8" i="30"/>
  <c r="AR9" i="30"/>
  <c r="AR10" i="30"/>
  <c r="AR11" i="30"/>
  <c r="AM8" i="30"/>
  <c r="S20" i="30"/>
  <c r="AM9" i="30"/>
  <c r="AA39" i="30"/>
  <c r="AM10" i="30"/>
  <c r="AE44" i="30"/>
  <c r="AM11" i="30"/>
  <c r="G24" i="30"/>
  <c r="AM12" i="30"/>
  <c r="C34" i="30"/>
  <c r="AM7" i="30"/>
  <c r="O22" i="30"/>
  <c r="AH8" i="30"/>
  <c r="AH9" i="30"/>
  <c r="AH10" i="30"/>
  <c r="AH11" i="30"/>
  <c r="AH12" i="30"/>
  <c r="AH7" i="30"/>
  <c r="AM46" i="30"/>
  <c r="AR12" i="30"/>
  <c r="AR7" i="30"/>
  <c r="C9" i="10"/>
  <c r="D9" i="10"/>
  <c r="AS57" i="30"/>
  <c r="C19" i="41"/>
  <c r="AE17" i="41"/>
  <c r="K28" i="41"/>
  <c r="AM40" i="41"/>
  <c r="K35" i="41"/>
  <c r="AQ17" i="41"/>
  <c r="C25" i="39"/>
  <c r="S20" i="39"/>
  <c r="G23" i="39"/>
  <c r="C33" i="39"/>
  <c r="AA40" i="39"/>
  <c r="AM19" i="39"/>
  <c r="AA20" i="39"/>
  <c r="S22" i="39"/>
  <c r="K28" i="39"/>
  <c r="AE42" i="39"/>
  <c r="O33" i="39"/>
  <c r="AI42" i="39"/>
  <c r="AQ17" i="39"/>
  <c r="O41" i="30"/>
  <c r="G40" i="41"/>
  <c r="AE26" i="30"/>
  <c r="AU16" i="41"/>
  <c r="AQ33" i="30"/>
  <c r="S18" i="39"/>
  <c r="W43" i="39"/>
  <c r="W35" i="30"/>
  <c r="O41" i="39"/>
  <c r="AU37" i="39"/>
  <c r="AQ25" i="41"/>
  <c r="G36" i="30"/>
  <c r="AQ26" i="30"/>
  <c r="W42" i="39"/>
  <c r="G46" i="41"/>
  <c r="AU37" i="41"/>
  <c r="O42" i="41"/>
  <c r="AU36" i="41"/>
  <c r="S18" i="30"/>
  <c r="AQ40" i="30"/>
  <c r="AE40" i="39"/>
  <c r="W43" i="41"/>
  <c r="AU33" i="41"/>
  <c r="W24" i="30"/>
  <c r="AU39" i="30"/>
  <c r="AQ25" i="39"/>
  <c r="AA21" i="41"/>
  <c r="AU39" i="41"/>
  <c r="W36" i="30"/>
  <c r="AU44" i="30"/>
  <c r="AQ46" i="39"/>
  <c r="AI17" i="41"/>
  <c r="AU44" i="41"/>
  <c r="AE24" i="30"/>
  <c r="AQ38" i="39"/>
  <c r="AU28" i="41"/>
  <c r="W41" i="39"/>
  <c r="AE31" i="30"/>
  <c r="AU42" i="30"/>
  <c r="AU21" i="39"/>
  <c r="G45" i="41"/>
  <c r="AQ24" i="41"/>
  <c r="AU35" i="41"/>
  <c r="AQ31" i="41"/>
  <c r="AQ38" i="41"/>
  <c r="W27" i="30"/>
  <c r="G45" i="39"/>
  <c r="AE31" i="39"/>
  <c r="AE38" i="39"/>
  <c r="AU28" i="39"/>
  <c r="W34" i="30"/>
  <c r="AU21" i="30"/>
  <c r="W34" i="39"/>
  <c r="AU35" i="39"/>
  <c r="AA20" i="41"/>
  <c r="AQ45" i="41"/>
  <c r="AU35" i="30"/>
  <c r="AQ31" i="39"/>
  <c r="AU42" i="39"/>
  <c r="AE38" i="41"/>
  <c r="AU42" i="41"/>
  <c r="O39" i="30"/>
  <c r="AQ30" i="39"/>
  <c r="AQ26" i="39"/>
  <c r="AU23" i="39"/>
  <c r="AQ33" i="41"/>
  <c r="O42" i="30"/>
  <c r="AU16" i="30"/>
  <c r="G40" i="39"/>
  <c r="AU16" i="39"/>
  <c r="AE40" i="41"/>
  <c r="AQ40" i="41"/>
  <c r="AU23" i="30"/>
  <c r="AQ33" i="39"/>
  <c r="W29" i="30"/>
  <c r="AE33" i="30"/>
  <c r="AU37" i="30"/>
  <c r="O42" i="39"/>
  <c r="AQ40" i="39"/>
  <c r="S18" i="41"/>
  <c r="AQ26" i="41"/>
  <c r="W36" i="39"/>
  <c r="AU44" i="39"/>
  <c r="AA22" i="41"/>
  <c r="AE32" i="30"/>
  <c r="AQ46" i="30"/>
  <c r="AQ39" i="39"/>
  <c r="G39" i="41"/>
  <c r="W42" i="41"/>
  <c r="S17" i="30"/>
  <c r="AQ25" i="30"/>
  <c r="AU22" i="30"/>
  <c r="AU43" i="30"/>
  <c r="S17" i="39"/>
  <c r="O41" i="41"/>
  <c r="AE32" i="39"/>
  <c r="AU22" i="39"/>
  <c r="AQ32" i="41"/>
  <c r="G39" i="30"/>
  <c r="AQ32" i="30"/>
  <c r="AU29" i="30"/>
  <c r="AQ32" i="39"/>
  <c r="AU43" i="39"/>
  <c r="S17" i="41"/>
  <c r="AE39" i="41"/>
  <c r="AU22" i="41"/>
  <c r="G39" i="39"/>
  <c r="W35" i="39"/>
  <c r="AU29" i="41"/>
  <c r="AU43" i="41"/>
  <c r="G46" i="30"/>
  <c r="W28" i="30"/>
  <c r="AQ39" i="30"/>
  <c r="AU36" i="30"/>
  <c r="G46" i="39"/>
  <c r="AE39" i="39"/>
  <c r="AU29" i="39"/>
  <c r="G38" i="30"/>
  <c r="AQ24" i="30"/>
  <c r="AQ45" i="30"/>
  <c r="G38" i="39"/>
  <c r="G45" i="30"/>
  <c r="AQ31" i="30"/>
  <c r="AQ24" i="39"/>
  <c r="G38" i="41"/>
  <c r="AE45" i="41"/>
  <c r="AU21" i="41"/>
  <c r="AQ38" i="30"/>
  <c r="AU28" i="30"/>
  <c r="AQ45" i="39"/>
  <c r="AU34" i="41"/>
  <c r="W26" i="30"/>
  <c r="AQ37" i="30"/>
  <c r="AU41" i="39"/>
  <c r="AU20" i="41"/>
  <c r="G37" i="30"/>
  <c r="O46" i="30"/>
  <c r="AQ30" i="30"/>
  <c r="W40" i="39"/>
  <c r="AE37" i="39"/>
  <c r="W40" i="41"/>
  <c r="AE37" i="41"/>
  <c r="AQ30" i="41"/>
  <c r="O39" i="41"/>
  <c r="O46" i="39"/>
  <c r="AU20" i="30"/>
  <c r="AQ44" i="39"/>
  <c r="AU27" i="39"/>
  <c r="AQ37" i="41"/>
  <c r="AQ44" i="30"/>
  <c r="AU27" i="30"/>
  <c r="G44" i="39"/>
  <c r="O46" i="41"/>
  <c r="AE44" i="41"/>
  <c r="AQ44" i="41"/>
  <c r="AU27" i="41"/>
  <c r="AU34" i="30"/>
  <c r="G37" i="39"/>
  <c r="W33" i="30"/>
  <c r="AE30" i="30"/>
  <c r="AU41" i="30"/>
  <c r="O39" i="39"/>
  <c r="AU20" i="39"/>
  <c r="AU34" i="39"/>
  <c r="G37" i="41"/>
  <c r="AE23" i="30"/>
  <c r="G44" i="41"/>
  <c r="AQ23" i="30"/>
  <c r="AQ23" i="41"/>
  <c r="G44" i="30"/>
  <c r="W33" i="39"/>
  <c r="AE30" i="39"/>
  <c r="AQ23" i="39"/>
  <c r="AQ37" i="39"/>
  <c r="AA19" i="41"/>
  <c r="AE22" i="30"/>
  <c r="AU40" i="30"/>
  <c r="AE29" i="39"/>
  <c r="G36" i="41"/>
  <c r="W32" i="30"/>
  <c r="AQ36" i="30"/>
  <c r="O45" i="39"/>
  <c r="AQ43" i="39"/>
  <c r="AU19" i="41"/>
  <c r="AE29" i="30"/>
  <c r="AU19" i="30"/>
  <c r="G43" i="39"/>
  <c r="AU26" i="39"/>
  <c r="W39" i="41"/>
  <c r="AQ43" i="41"/>
  <c r="O45" i="30"/>
  <c r="W25" i="30"/>
  <c r="AU33" i="30"/>
  <c r="AQ22" i="39"/>
  <c r="O45" i="41"/>
  <c r="AQ43" i="30"/>
  <c r="O38" i="39"/>
  <c r="W39" i="39"/>
  <c r="AQ36" i="39"/>
  <c r="AU40" i="39"/>
  <c r="AE36" i="41"/>
  <c r="AU26" i="41"/>
  <c r="G43" i="30"/>
  <c r="AU19" i="39"/>
  <c r="G43" i="41"/>
  <c r="AQ22" i="41"/>
  <c r="AU26" i="30"/>
  <c r="G36" i="39"/>
  <c r="AE36" i="39"/>
  <c r="AQ36" i="41"/>
  <c r="O38" i="30"/>
  <c r="AQ22" i="30"/>
  <c r="W32" i="39"/>
  <c r="AU33" i="39"/>
  <c r="O38" i="41"/>
  <c r="AA18" i="41"/>
  <c r="AE43" i="41"/>
  <c r="G42" i="39"/>
  <c r="AQ35" i="41"/>
  <c r="AU18" i="41"/>
  <c r="AQ42" i="30"/>
  <c r="AQ28" i="41"/>
  <c r="AQ21" i="30"/>
  <c r="G42" i="30"/>
  <c r="O44" i="39"/>
  <c r="O37" i="41"/>
  <c r="AA17" i="41"/>
  <c r="AQ35" i="30"/>
  <c r="AU18" i="39"/>
  <c r="AU46" i="39"/>
  <c r="G35" i="30"/>
  <c r="O44" i="30"/>
  <c r="AQ28" i="39"/>
  <c r="G35" i="41"/>
  <c r="W38" i="41"/>
  <c r="AU32" i="30"/>
  <c r="AQ21" i="41"/>
  <c r="AQ42" i="41"/>
  <c r="AU25" i="30"/>
  <c r="AE35" i="39"/>
  <c r="O37" i="39"/>
  <c r="W38" i="39"/>
  <c r="AU39" i="39"/>
  <c r="AE42" i="41"/>
  <c r="AE28" i="39"/>
  <c r="AQ28" i="30"/>
  <c r="AU46" i="30"/>
  <c r="AQ35" i="39"/>
  <c r="AQ21" i="39"/>
  <c r="AQ42" i="39"/>
  <c r="AU25" i="41"/>
  <c r="AE28" i="30"/>
  <c r="AU25" i="39"/>
  <c r="AV30" i="39"/>
  <c r="G42" i="41"/>
  <c r="AU32" i="41"/>
  <c r="O37" i="30"/>
  <c r="W31" i="30"/>
  <c r="AU18" i="30"/>
  <c r="G35" i="39"/>
  <c r="W31" i="39"/>
  <c r="AU32" i="39"/>
  <c r="AE35" i="41"/>
  <c r="O44" i="41"/>
  <c r="C27" i="30"/>
  <c r="AV37" i="39"/>
  <c r="AV16" i="30"/>
  <c r="AJ17" i="41"/>
  <c r="AV44" i="39"/>
  <c r="T18" i="41"/>
  <c r="AV16" i="41"/>
  <c r="L16" i="39"/>
  <c r="AV37" i="41"/>
  <c r="AR33" i="39"/>
  <c r="AU47" i="41"/>
  <c r="AV23" i="41"/>
  <c r="AV30" i="30"/>
  <c r="H40" i="30"/>
  <c r="AF40" i="41"/>
  <c r="L16" i="41"/>
  <c r="AR33" i="30"/>
  <c r="AR33" i="41"/>
  <c r="AR40" i="30"/>
  <c r="H40" i="39"/>
  <c r="AV30" i="41"/>
  <c r="X43" i="41"/>
  <c r="AB22" i="41"/>
  <c r="AR40" i="41"/>
  <c r="AV44" i="41"/>
  <c r="AV16" i="39"/>
  <c r="AF33" i="39"/>
  <c r="AF33" i="30"/>
  <c r="X43" i="39"/>
  <c r="P42" i="41"/>
  <c r="X36" i="30"/>
  <c r="AR26" i="39"/>
  <c r="T18" i="39"/>
  <c r="AR26" i="41"/>
  <c r="AU47" i="39"/>
  <c r="AV23" i="39"/>
  <c r="X36" i="39"/>
  <c r="AU47" i="30"/>
  <c r="AV23" i="30"/>
  <c r="H40" i="41"/>
  <c r="P42" i="39"/>
  <c r="P42" i="30"/>
  <c r="AR40" i="39"/>
  <c r="AF40" i="39"/>
  <c r="T18" i="30"/>
  <c r="L16" i="30"/>
  <c r="AF26" i="30"/>
  <c r="AV44" i="30"/>
  <c r="AV37" i="30"/>
  <c r="AR26" i="30"/>
  <c r="X29" i="30"/>
  <c r="AU48" i="41"/>
  <c r="AU48" i="39"/>
  <c r="AU49" i="41"/>
  <c r="AU48" i="30"/>
  <c r="AU49" i="30"/>
  <c r="AU49" i="39"/>
  <c r="C43" i="30"/>
  <c r="K38" i="30"/>
  <c r="S31" i="30"/>
  <c r="AM27" i="30"/>
  <c r="AI44" i="30"/>
  <c r="AM34" i="30"/>
  <c r="W21" i="30"/>
  <c r="AM23" i="39"/>
  <c r="AQ18" i="39"/>
  <c r="S19" i="39"/>
  <c r="K36" i="39"/>
  <c r="O27" i="39"/>
  <c r="G25" i="39"/>
  <c r="AA28" i="39"/>
  <c r="K17" i="41"/>
  <c r="S26" i="41"/>
  <c r="AA44" i="41"/>
  <c r="O31" i="41"/>
  <c r="K40" i="41"/>
  <c r="K33" i="41"/>
  <c r="G22" i="41"/>
  <c r="AA32" i="41"/>
  <c r="AI20" i="41"/>
  <c r="K19" i="41"/>
  <c r="O24" i="41"/>
  <c r="AI27" i="41"/>
  <c r="S28" i="41"/>
  <c r="W18" i="41"/>
  <c r="AM24" i="41"/>
  <c r="AA25" i="41"/>
  <c r="AI41" i="41"/>
  <c r="O17" i="41"/>
  <c r="K26" i="41"/>
  <c r="S35" i="41"/>
  <c r="AM45" i="41"/>
  <c r="AA39" i="41"/>
  <c r="AE21" i="41"/>
  <c r="C45" i="41"/>
  <c r="C38" i="41"/>
  <c r="AM38" i="41"/>
  <c r="C24" i="41"/>
  <c r="AI40" i="41"/>
  <c r="AA30" i="41"/>
  <c r="G29" i="41"/>
  <c r="O20" i="41"/>
  <c r="O29" i="41"/>
  <c r="C34" i="41"/>
  <c r="K24" i="41"/>
  <c r="AM17" i="41"/>
  <c r="K38" i="41"/>
  <c r="S24" i="41"/>
  <c r="AM31" i="41"/>
  <c r="K31" i="41"/>
  <c r="K45" i="41"/>
  <c r="AM29" i="41"/>
  <c r="S45" i="41"/>
  <c r="AM27" i="41"/>
  <c r="AM34" i="41"/>
  <c r="AM20" i="41"/>
  <c r="K22" i="41"/>
  <c r="AR13" i="41"/>
  <c r="AA38" i="41"/>
  <c r="AI33" i="41"/>
  <c r="C30" i="41"/>
  <c r="W19" i="41"/>
  <c r="K18" i="41"/>
  <c r="K32" i="41"/>
  <c r="AA45" i="41"/>
  <c r="K39" i="41"/>
  <c r="C39" i="41"/>
  <c r="C17" i="41"/>
  <c r="AI34" i="41"/>
  <c r="O23" i="41"/>
  <c r="AM37" i="41"/>
  <c r="AA40" i="41"/>
  <c r="AA24" i="41"/>
  <c r="AM44" i="41"/>
  <c r="C37" i="41"/>
  <c r="C23" i="41"/>
  <c r="G16" i="41"/>
  <c r="S21" i="41"/>
  <c r="AA35" i="41"/>
  <c r="AM25" i="41"/>
  <c r="S42" i="41"/>
  <c r="O16" i="41"/>
  <c r="AM30" i="41"/>
  <c r="S27" i="41"/>
  <c r="AI19" i="41"/>
  <c r="C31" i="41"/>
  <c r="W24" i="41"/>
  <c r="G28" i="41"/>
  <c r="C16" i="41"/>
  <c r="W17" i="41"/>
  <c r="S22" i="41"/>
  <c r="C25" i="41"/>
  <c r="AE28" i="41"/>
  <c r="O30" i="41"/>
  <c r="G21" i="41"/>
  <c r="AM23" i="41"/>
  <c r="AM18" i="41"/>
  <c r="S41" i="41"/>
  <c r="AA31" i="41"/>
  <c r="AM16" i="41"/>
  <c r="S34" i="41"/>
  <c r="G23" i="41"/>
  <c r="C44" i="41"/>
  <c r="S20" i="41"/>
  <c r="K25" i="41"/>
  <c r="AI26" i="41"/>
  <c r="G30" i="41"/>
  <c r="AH13" i="41"/>
  <c r="W28" i="41"/>
  <c r="W25" i="41"/>
  <c r="AE29" i="41"/>
  <c r="AE22" i="41"/>
  <c r="AA46" i="41"/>
  <c r="S33" i="41"/>
  <c r="G27" i="41"/>
  <c r="S40" i="41"/>
  <c r="AA37" i="41"/>
  <c r="AI32" i="41"/>
  <c r="AI25" i="41"/>
  <c r="C36" i="41"/>
  <c r="O22" i="41"/>
  <c r="AI18" i="41"/>
  <c r="W23" i="41"/>
  <c r="G20" i="41"/>
  <c r="AA23" i="41"/>
  <c r="S19" i="41"/>
  <c r="AM36" i="41"/>
  <c r="C22" i="41"/>
  <c r="C43" i="41"/>
  <c r="AM43" i="41"/>
  <c r="W16" i="41"/>
  <c r="AI46" i="41"/>
  <c r="AE18" i="41"/>
  <c r="O34" i="41"/>
  <c r="AI21" i="41"/>
  <c r="K36" i="41"/>
  <c r="AA26" i="41"/>
  <c r="K29" i="41"/>
  <c r="AM19" i="41"/>
  <c r="G31" i="41"/>
  <c r="W20" i="41"/>
  <c r="AA41" i="41"/>
  <c r="AM26" i="41"/>
  <c r="K43" i="41"/>
  <c r="C18" i="41"/>
  <c r="K42" i="41"/>
  <c r="K20" i="41"/>
  <c r="AE30" i="41"/>
  <c r="AM13" i="41"/>
  <c r="AA28" i="41"/>
  <c r="G17" i="41"/>
  <c r="S31" i="41"/>
  <c r="AI43" i="41"/>
  <c r="K34" i="41"/>
  <c r="S23" i="41"/>
  <c r="AM39" i="41"/>
  <c r="K27" i="41"/>
  <c r="AQ16" i="41"/>
  <c r="O18" i="41"/>
  <c r="AM33" i="41"/>
  <c r="G24" i="41"/>
  <c r="W27" i="41"/>
  <c r="AE25" i="41"/>
  <c r="AA27" i="41"/>
  <c r="S30" i="41"/>
  <c r="AI42" i="41"/>
  <c r="O33" i="41"/>
  <c r="AA42" i="41"/>
  <c r="S43" i="41"/>
  <c r="AI35" i="41"/>
  <c r="C32" i="41"/>
  <c r="O19" i="41"/>
  <c r="C26" i="41"/>
  <c r="W26" i="41"/>
  <c r="AE24" i="41"/>
  <c r="K21" i="41"/>
  <c r="C41" i="41"/>
  <c r="S29" i="41"/>
  <c r="AM41" i="41"/>
  <c r="O32" i="41"/>
  <c r="O25" i="41"/>
  <c r="O26" i="41"/>
  <c r="AM32" i="41"/>
  <c r="C33" i="41"/>
  <c r="AI28" i="41"/>
  <c r="AI37" i="41"/>
  <c r="K41" i="41"/>
  <c r="S38" i="41"/>
  <c r="AE23" i="41"/>
  <c r="AI22" i="41"/>
  <c r="C40" i="41"/>
  <c r="AI36" i="41"/>
  <c r="W35" i="41"/>
  <c r="S37" i="41"/>
  <c r="AA34" i="41"/>
  <c r="C27" i="41"/>
  <c r="S44" i="41"/>
  <c r="W34" i="41"/>
  <c r="AE32" i="41"/>
  <c r="AA33" i="41"/>
  <c r="S36" i="41"/>
  <c r="O27" i="41"/>
  <c r="AI44" i="41"/>
  <c r="W21" i="41"/>
  <c r="G32" i="41"/>
  <c r="AE16" i="41"/>
  <c r="C20" i="41"/>
  <c r="G25" i="41"/>
  <c r="AQ18" i="41"/>
  <c r="AM22" i="41"/>
  <c r="W30" i="41"/>
  <c r="C29" i="41"/>
  <c r="S30" i="39"/>
  <c r="AA21" i="39"/>
  <c r="AI37" i="39"/>
  <c r="G28" i="39"/>
  <c r="AM20" i="39"/>
  <c r="AI36" i="39"/>
  <c r="O19" i="39"/>
  <c r="AM40" i="39"/>
  <c r="AM33" i="39"/>
  <c r="AM45" i="39"/>
  <c r="S27" i="39"/>
  <c r="C37" i="39"/>
  <c r="S34" i="39"/>
  <c r="O16" i="39"/>
  <c r="AA24" i="39"/>
  <c r="O32" i="39"/>
  <c r="K32" i="39"/>
  <c r="AQ16" i="39"/>
  <c r="AQ48" i="39"/>
  <c r="AI35" i="39"/>
  <c r="K18" i="39"/>
  <c r="AA33" i="39"/>
  <c r="O18" i="39"/>
  <c r="O30" i="39"/>
  <c r="C16" i="39"/>
  <c r="W17" i="39"/>
  <c r="AA31" i="39"/>
  <c r="AM18" i="39"/>
  <c r="K27" i="39"/>
  <c r="AA19" i="39"/>
  <c r="AE16" i="39"/>
  <c r="K39" i="39"/>
  <c r="AA26" i="39"/>
  <c r="O25" i="39"/>
  <c r="AM37" i="39"/>
  <c r="C30" i="39"/>
  <c r="S43" i="39"/>
  <c r="S29" i="39"/>
  <c r="AI26" i="39"/>
  <c r="S36" i="39"/>
  <c r="AM44" i="39"/>
  <c r="O23" i="39"/>
  <c r="AA45" i="39"/>
  <c r="AM32" i="39"/>
  <c r="W24" i="39"/>
  <c r="AA34" i="39"/>
  <c r="AI20" i="39"/>
  <c r="K40" i="39"/>
  <c r="S35" i="39"/>
  <c r="AI41" i="39"/>
  <c r="AM16" i="39"/>
  <c r="O20" i="39"/>
  <c r="AI21" i="39"/>
  <c r="C39" i="39"/>
  <c r="S24" i="39"/>
  <c r="AM39" i="39"/>
  <c r="AE44" i="39"/>
  <c r="K20" i="39"/>
  <c r="S45" i="39"/>
  <c r="AE18" i="39"/>
  <c r="O34" i="39"/>
  <c r="C20" i="39"/>
  <c r="K34" i="39"/>
  <c r="C34" i="39"/>
  <c r="W21" i="39"/>
  <c r="G30" i="39"/>
  <c r="C32" i="39"/>
  <c r="G21" i="39"/>
  <c r="S31" i="39"/>
  <c r="G16" i="39"/>
  <c r="AM25" i="39"/>
  <c r="AI44" i="39"/>
  <c r="K29" i="39"/>
  <c r="C27" i="39"/>
  <c r="AM27" i="39"/>
  <c r="AR13" i="39"/>
  <c r="C41" i="39"/>
  <c r="AM41" i="39"/>
  <c r="K22" i="39"/>
  <c r="AA42" i="39"/>
  <c r="AI22" i="39"/>
  <c r="S28" i="39"/>
  <c r="AA18" i="39"/>
  <c r="C40" i="39"/>
  <c r="O31" i="39"/>
  <c r="K19" i="39"/>
  <c r="AE17" i="39"/>
  <c r="AA41" i="39"/>
  <c r="G29" i="39"/>
  <c r="W25" i="39"/>
  <c r="K26" i="39"/>
  <c r="AM17" i="39"/>
  <c r="W18" i="39"/>
  <c r="AM38" i="39"/>
  <c r="C31" i="39"/>
  <c r="C44" i="39"/>
  <c r="C23" i="39"/>
  <c r="G32" i="39"/>
  <c r="AE25" i="39"/>
  <c r="AE21" i="39"/>
  <c r="AA32" i="39"/>
  <c r="S37" i="39"/>
  <c r="AA25" i="39"/>
  <c r="C17" i="39"/>
  <c r="C38" i="39"/>
  <c r="O24" i="39"/>
  <c r="C24" i="39"/>
  <c r="AI33" i="39"/>
  <c r="AE24" i="39"/>
  <c r="AI40" i="39"/>
  <c r="AE22" i="39"/>
  <c r="G17" i="39"/>
  <c r="K35" i="39"/>
  <c r="AE43" i="39"/>
  <c r="K33" i="39"/>
  <c r="C18" i="39"/>
  <c r="AM26" i="39"/>
  <c r="AA35" i="39"/>
  <c r="C45" i="39"/>
  <c r="AA27" i="39"/>
  <c r="AI43" i="39"/>
  <c r="S23" i="39"/>
  <c r="AI34" i="39"/>
  <c r="G24" i="39"/>
  <c r="AA46" i="39"/>
  <c r="K42" i="39"/>
  <c r="AI19" i="39"/>
  <c r="AI27" i="39"/>
  <c r="S41" i="39"/>
  <c r="S42" i="39"/>
  <c r="AA17" i="39"/>
  <c r="W20" i="39"/>
  <c r="K25" i="39"/>
  <c r="AI28" i="39"/>
  <c r="AM34" i="39"/>
  <c r="S44" i="39"/>
  <c r="AE23" i="39"/>
  <c r="G18" i="39"/>
  <c r="K21" i="39"/>
  <c r="C26" i="39"/>
  <c r="AM30" i="39"/>
  <c r="AE45" i="39"/>
  <c r="W28" i="39"/>
  <c r="K41" i="39"/>
  <c r="S38" i="39"/>
  <c r="C19" i="39"/>
  <c r="S21" i="39"/>
  <c r="O26" i="39"/>
  <c r="G31" i="39"/>
  <c r="AA39" i="39"/>
  <c r="W19" i="39"/>
  <c r="G22" i="39"/>
  <c r="AM31" i="39"/>
  <c r="AH13" i="39"/>
  <c r="O17" i="39"/>
  <c r="W16" i="39"/>
  <c r="AA37" i="39"/>
  <c r="K38" i="39"/>
  <c r="AA16" i="39"/>
  <c r="K24" i="39"/>
  <c r="AI25" i="39"/>
  <c r="C36" i="39"/>
  <c r="S26" i="39"/>
  <c r="C29" i="39"/>
  <c r="C22" i="39"/>
  <c r="AI32" i="39"/>
  <c r="K45" i="39"/>
  <c r="AM36" i="39"/>
  <c r="AI18" i="39"/>
  <c r="K17" i="39"/>
  <c r="S40" i="39"/>
  <c r="O22" i="39"/>
  <c r="W23" i="39"/>
  <c r="AA30" i="39"/>
  <c r="S33" i="39"/>
  <c r="AA23" i="39"/>
  <c r="AA44" i="39"/>
  <c r="AM22" i="39"/>
  <c r="AM29" i="39"/>
  <c r="AE41" i="39"/>
  <c r="AI46" i="39"/>
  <c r="AM13" i="39"/>
  <c r="G27" i="39"/>
  <c r="G20" i="39"/>
  <c r="AM43" i="39"/>
  <c r="O29" i="39"/>
  <c r="K31" i="39"/>
  <c r="S33" i="30"/>
  <c r="K24" i="30"/>
  <c r="AE34" i="30"/>
  <c r="AI37" i="30"/>
  <c r="AA35" i="30"/>
  <c r="S38" i="30"/>
  <c r="K36" i="30"/>
  <c r="O27" i="30"/>
  <c r="AQ18" i="30"/>
  <c r="S24" i="30"/>
  <c r="S45" i="30"/>
  <c r="C41" i="30"/>
  <c r="G18" i="30"/>
  <c r="G32" i="30"/>
  <c r="AA28" i="30"/>
  <c r="O20" i="30"/>
  <c r="AM41" i="30"/>
  <c r="AA21" i="30"/>
  <c r="W42" i="30"/>
  <c r="AE18" i="30"/>
  <c r="K22" i="30"/>
  <c r="O34" i="30"/>
  <c r="G25" i="30"/>
  <c r="K29" i="30"/>
  <c r="AM20" i="30"/>
  <c r="AE39" i="30"/>
  <c r="AA42" i="30"/>
  <c r="S26" i="30"/>
  <c r="K43" i="30"/>
  <c r="AA30" i="30"/>
  <c r="G20" i="30"/>
  <c r="AI18" i="30"/>
  <c r="AI25" i="30"/>
  <c r="AE41" i="30"/>
  <c r="AM43" i="30"/>
  <c r="K45" i="30"/>
  <c r="AM29" i="30"/>
  <c r="AI32" i="30"/>
  <c r="AA44" i="30"/>
  <c r="W37" i="30"/>
  <c r="S40" i="30"/>
  <c r="AA23" i="30"/>
  <c r="AA16" i="30"/>
  <c r="AA37" i="30"/>
  <c r="G27" i="30"/>
  <c r="AM22" i="30"/>
  <c r="C29" i="30"/>
  <c r="W16" i="30"/>
  <c r="S19" i="30"/>
  <c r="AI46" i="30"/>
  <c r="AM36" i="30"/>
  <c r="C36" i="30"/>
  <c r="K31" i="30"/>
  <c r="C22" i="30"/>
  <c r="O29" i="30"/>
  <c r="AQ50" i="39"/>
  <c r="AQ49" i="39"/>
  <c r="X59" i="41"/>
  <c r="Y59" i="41"/>
  <c r="X60" i="41"/>
  <c r="Y60" i="41"/>
  <c r="L44" i="41"/>
  <c r="X29" i="41"/>
  <c r="L23" i="41"/>
  <c r="L37" i="41"/>
  <c r="T46" i="41"/>
  <c r="T25" i="41"/>
  <c r="AN21" i="41"/>
  <c r="AJ24" i="41"/>
  <c r="AJ31" i="41"/>
  <c r="AF19" i="41"/>
  <c r="AB43" i="41"/>
  <c r="X61" i="41"/>
  <c r="Y61" i="41"/>
  <c r="T39" i="41"/>
  <c r="AB36" i="41"/>
  <c r="AF33" i="41"/>
  <c r="H33" i="41"/>
  <c r="AJ38" i="41"/>
  <c r="AN42" i="41"/>
  <c r="H26" i="41"/>
  <c r="P28" i="41"/>
  <c r="P35" i="41"/>
  <c r="C49" i="41"/>
  <c r="D35" i="41"/>
  <c r="S48" i="41"/>
  <c r="K49" i="41"/>
  <c r="D21" i="41"/>
  <c r="S50" i="41"/>
  <c r="AN35" i="41"/>
  <c r="X22" i="41"/>
  <c r="C48" i="41"/>
  <c r="D28" i="41"/>
  <c r="O50" i="41"/>
  <c r="P21" i="41"/>
  <c r="O47" i="41"/>
  <c r="O49" i="41"/>
  <c r="O48" i="41"/>
  <c r="G48" i="41"/>
  <c r="G47" i="41"/>
  <c r="G49" i="41"/>
  <c r="G50" i="41"/>
  <c r="AA49" i="41"/>
  <c r="AA48" i="41"/>
  <c r="AA50" i="41"/>
  <c r="T32" i="41"/>
  <c r="AA47" i="41"/>
  <c r="AQ47" i="41"/>
  <c r="AR19" i="41"/>
  <c r="AQ50" i="41"/>
  <c r="AQ48" i="41"/>
  <c r="AQ49" i="41"/>
  <c r="W48" i="41"/>
  <c r="AB29" i="41"/>
  <c r="D42" i="41"/>
  <c r="S49" i="41"/>
  <c r="L30" i="41"/>
  <c r="AI47" i="41"/>
  <c r="AI50" i="41"/>
  <c r="AI48" i="41"/>
  <c r="AI49" i="41"/>
  <c r="X63" i="41"/>
  <c r="Y63" i="41"/>
  <c r="X64" i="41"/>
  <c r="Y64" i="41"/>
  <c r="AM48" i="41"/>
  <c r="X62" i="41"/>
  <c r="Y62" i="41"/>
  <c r="H19" i="41"/>
  <c r="C47" i="41"/>
  <c r="AE48" i="41"/>
  <c r="S47" i="41"/>
  <c r="K48" i="41"/>
  <c r="K47" i="41"/>
  <c r="K50" i="41"/>
  <c r="AJ45" i="41"/>
  <c r="AF26" i="41"/>
  <c r="AE47" i="41"/>
  <c r="AE50" i="41"/>
  <c r="AE49" i="41"/>
  <c r="AN28" i="41"/>
  <c r="AM49" i="41"/>
  <c r="AM50" i="41"/>
  <c r="AM47" i="41"/>
  <c r="W49" i="41"/>
  <c r="X36" i="41"/>
  <c r="W47" i="41"/>
  <c r="W50" i="41"/>
  <c r="AQ47" i="39"/>
  <c r="H19" i="39"/>
  <c r="AI48" i="39"/>
  <c r="X61" i="39"/>
  <c r="Y61" i="39"/>
  <c r="T46" i="39"/>
  <c r="T32" i="39"/>
  <c r="AN21" i="39"/>
  <c r="X29" i="39"/>
  <c r="P35" i="39"/>
  <c r="AR19" i="39"/>
  <c r="AF19" i="39"/>
  <c r="AJ38" i="39"/>
  <c r="AM48" i="39"/>
  <c r="X60" i="39"/>
  <c r="Y60" i="39"/>
  <c r="AB29" i="39"/>
  <c r="AN42" i="39"/>
  <c r="H33" i="39"/>
  <c r="P21" i="39"/>
  <c r="S48" i="39"/>
  <c r="AB36" i="39"/>
  <c r="L44" i="39"/>
  <c r="AB43" i="39"/>
  <c r="X62" i="39"/>
  <c r="Y62" i="39"/>
  <c r="D35" i="39"/>
  <c r="AJ45" i="39"/>
  <c r="T39" i="39"/>
  <c r="S50" i="39"/>
  <c r="G48" i="39"/>
  <c r="AA48" i="39"/>
  <c r="W48" i="39"/>
  <c r="AE48" i="39"/>
  <c r="L37" i="39"/>
  <c r="D42" i="39"/>
  <c r="AN35" i="39"/>
  <c r="X64" i="39"/>
  <c r="Y64" i="39"/>
  <c r="X63" i="39"/>
  <c r="Y63" i="39"/>
  <c r="T25" i="39"/>
  <c r="AJ31" i="39"/>
  <c r="S49" i="39"/>
  <c r="AF26" i="39"/>
  <c r="K48" i="39"/>
  <c r="L30" i="39"/>
  <c r="O48" i="39"/>
  <c r="D21" i="39"/>
  <c r="AE50" i="39"/>
  <c r="AE49" i="39"/>
  <c r="AJ17" i="39"/>
  <c r="AE47" i="39"/>
  <c r="P28" i="39"/>
  <c r="O47" i="39"/>
  <c r="O50" i="39"/>
  <c r="O49" i="39"/>
  <c r="AA50" i="39"/>
  <c r="AA49" i="39"/>
  <c r="AB22" i="39"/>
  <c r="AA47" i="39"/>
  <c r="X22" i="39"/>
  <c r="W49" i="39"/>
  <c r="W47" i="39"/>
  <c r="W50" i="39"/>
  <c r="C48" i="39"/>
  <c r="X59" i="39"/>
  <c r="Y59" i="39"/>
  <c r="D28" i="39"/>
  <c r="C49" i="39"/>
  <c r="C47" i="39"/>
  <c r="AM49" i="39"/>
  <c r="AN28" i="39"/>
  <c r="AM50" i="39"/>
  <c r="AM47" i="39"/>
  <c r="K47" i="39"/>
  <c r="K49" i="39"/>
  <c r="K50" i="39"/>
  <c r="L23" i="39"/>
  <c r="AI50" i="39"/>
  <c r="AI49" i="39"/>
  <c r="AI47" i="39"/>
  <c r="AJ24" i="39"/>
  <c r="G49" i="39"/>
  <c r="G47" i="39"/>
  <c r="H26" i="39"/>
  <c r="G50" i="39"/>
  <c r="S47" i="39"/>
  <c r="X64" i="30"/>
  <c r="Y64" i="30"/>
  <c r="X59" i="30"/>
  <c r="Y59" i="30"/>
  <c r="Y65" i="41"/>
  <c r="K52" i="41"/>
  <c r="M53" i="41"/>
  <c r="Q59" i="41"/>
  <c r="Y65" i="39"/>
  <c r="Q60" i="39"/>
  <c r="K52" i="39"/>
  <c r="Q59" i="39"/>
  <c r="M53" i="39"/>
  <c r="Q60" i="41"/>
  <c r="AI22" i="30"/>
  <c r="S30" i="30"/>
  <c r="AM19" i="30"/>
  <c r="O33" i="30"/>
  <c r="AE45" i="30"/>
  <c r="AM40" i="30"/>
  <c r="C33" i="30"/>
  <c r="C26" i="30"/>
  <c r="K20" i="30"/>
  <c r="AM26" i="30"/>
  <c r="S23" i="30"/>
  <c r="O26" i="30"/>
  <c r="K35" i="30"/>
  <c r="W41" i="30"/>
  <c r="S37" i="30"/>
  <c r="G31" i="30"/>
  <c r="K28" i="30"/>
  <c r="AE17" i="30"/>
  <c r="K42" i="30"/>
  <c r="O19" i="30"/>
  <c r="S44" i="30"/>
  <c r="AI43" i="30"/>
  <c r="AA20" i="30"/>
  <c r="AQ17" i="30"/>
  <c r="C40" i="30"/>
  <c r="AA27" i="30"/>
  <c r="G17" i="30"/>
  <c r="S41" i="30"/>
  <c r="C32" i="30"/>
  <c r="C25" i="30"/>
  <c r="O25" i="30"/>
  <c r="C19" i="30"/>
  <c r="AR13" i="30"/>
  <c r="AI36" i="30"/>
  <c r="AH13" i="30"/>
  <c r="AM24" i="30"/>
  <c r="AA25" i="30"/>
  <c r="C38" i="30"/>
  <c r="G22" i="30"/>
  <c r="AM30" i="30"/>
  <c r="AE35" i="30"/>
  <c r="G21" i="30"/>
  <c r="W17" i="30"/>
  <c r="K18" i="30"/>
  <c r="C37" i="30"/>
  <c r="G30" i="30"/>
  <c r="S36" i="30"/>
  <c r="W19" i="30"/>
  <c r="S29" i="30"/>
  <c r="AI21" i="30"/>
  <c r="AI35" i="30"/>
  <c r="G16" i="30"/>
  <c r="K27" i="30"/>
  <c r="AA26" i="30"/>
  <c r="G23" i="30"/>
  <c r="AA19" i="30"/>
  <c r="AA33" i="30"/>
  <c r="AM39" i="30"/>
  <c r="AE16" i="30"/>
  <c r="AA40" i="30"/>
  <c r="S22" i="30"/>
  <c r="C18" i="30"/>
  <c r="W40" i="30"/>
  <c r="O18" i="30"/>
  <c r="AM25" i="30"/>
  <c r="AE37" i="30"/>
  <c r="W20" i="30"/>
  <c r="AM32" i="30"/>
  <c r="AI42" i="30"/>
  <c r="AI28" i="30"/>
  <c r="AM18" i="30"/>
  <c r="AQ16" i="30"/>
  <c r="K41" i="30"/>
  <c r="K34" i="30"/>
  <c r="C39" i="30"/>
  <c r="O32" i="30"/>
  <c r="S43" i="30"/>
  <c r="X63" i="30"/>
  <c r="Y63" i="30"/>
  <c r="K40" i="30"/>
  <c r="S21" i="30"/>
  <c r="S48" i="30"/>
  <c r="S42" i="30"/>
  <c r="AM31" i="30"/>
  <c r="AE38" i="30"/>
  <c r="AA34" i="30"/>
  <c r="K26" i="30"/>
  <c r="C31" i="30"/>
  <c r="W18" i="30"/>
  <c r="S35" i="30"/>
  <c r="K19" i="30"/>
  <c r="AM33" i="30"/>
  <c r="AA41" i="30"/>
  <c r="AM45" i="30"/>
  <c r="AA46" i="30"/>
  <c r="K33" i="30"/>
  <c r="K21" i="30"/>
  <c r="O31" i="30"/>
  <c r="AM38" i="30"/>
  <c r="AA32" i="30"/>
  <c r="AM17" i="30"/>
  <c r="C17" i="30"/>
  <c r="AE43" i="30"/>
  <c r="AI34" i="30"/>
  <c r="G29" i="30"/>
  <c r="C24" i="30"/>
  <c r="AA18" i="30"/>
  <c r="AI20" i="30"/>
  <c r="AI41" i="30"/>
  <c r="AE36" i="30"/>
  <c r="W39" i="30"/>
  <c r="O17" i="30"/>
  <c r="S28" i="30"/>
  <c r="AI27" i="30"/>
  <c r="O24" i="30"/>
  <c r="AA17" i="30"/>
  <c r="AM23" i="30"/>
  <c r="S27" i="30"/>
  <c r="AM44" i="30"/>
  <c r="AM37" i="30"/>
  <c r="C30" i="30"/>
  <c r="S34" i="30"/>
  <c r="C16" i="30"/>
  <c r="AI19" i="30"/>
  <c r="W38" i="30"/>
  <c r="C23" i="30"/>
  <c r="G28" i="30"/>
  <c r="K25" i="30"/>
  <c r="O16" i="30"/>
  <c r="K39" i="30"/>
  <c r="AA24" i="30"/>
  <c r="O30" i="30"/>
  <c r="AI33" i="30"/>
  <c r="K32" i="30"/>
  <c r="AI26" i="30"/>
  <c r="AE42" i="30"/>
  <c r="AM13" i="30"/>
  <c r="AA38" i="30"/>
  <c r="O23" i="30"/>
  <c r="AI40" i="30"/>
  <c r="AM16" i="30"/>
  <c r="AA31" i="30"/>
  <c r="AA45" i="30"/>
  <c r="AB29" i="30"/>
  <c r="AQ47" i="30"/>
  <c r="T46" i="30"/>
  <c r="H19" i="30"/>
  <c r="D42" i="30"/>
  <c r="D28" i="30"/>
  <c r="P35" i="30"/>
  <c r="AF19" i="30"/>
  <c r="AN28" i="30"/>
  <c r="AB43" i="30"/>
  <c r="T25" i="30"/>
  <c r="L44" i="30"/>
  <c r="H26" i="30"/>
  <c r="L23" i="30"/>
  <c r="X62" i="30"/>
  <c r="Y62" i="30"/>
  <c r="D35" i="30"/>
  <c r="AN35" i="30"/>
  <c r="AN42" i="30"/>
  <c r="AB36" i="30"/>
  <c r="L37" i="30"/>
  <c r="T32" i="30"/>
  <c r="X22" i="30"/>
  <c r="T39" i="30"/>
  <c r="AJ31" i="30"/>
  <c r="AR19" i="30"/>
  <c r="AF40" i="30"/>
  <c r="AJ45" i="30"/>
  <c r="X61" i="30"/>
  <c r="Y61" i="30"/>
  <c r="AQ50" i="30"/>
  <c r="AQ49" i="30"/>
  <c r="AQ48" i="30"/>
  <c r="AJ38" i="30"/>
  <c r="P28" i="30"/>
  <c r="S49" i="30"/>
  <c r="S50" i="30"/>
  <c r="G48" i="30"/>
  <c r="G49" i="30"/>
  <c r="G50" i="30"/>
  <c r="G47" i="30"/>
  <c r="H33" i="30"/>
  <c r="AN21" i="30"/>
  <c r="AM48" i="30"/>
  <c r="AM49" i="30"/>
  <c r="AM47" i="30"/>
  <c r="AM50" i="30"/>
  <c r="W50" i="30"/>
  <c r="W49" i="30"/>
  <c r="W48" i="30"/>
  <c r="W47" i="30"/>
  <c r="X43" i="30"/>
  <c r="AJ24" i="30"/>
  <c r="AI49" i="30"/>
  <c r="AI50" i="30"/>
  <c r="AI47" i="30"/>
  <c r="AI48" i="30"/>
  <c r="AB22" i="30"/>
  <c r="AA49" i="30"/>
  <c r="AA50" i="30"/>
  <c r="AA48" i="30"/>
  <c r="AA47" i="30"/>
  <c r="D21" i="30"/>
  <c r="C50" i="30"/>
  <c r="C47" i="30"/>
  <c r="C49" i="30"/>
  <c r="C48" i="30"/>
  <c r="X60" i="30"/>
  <c r="Y60" i="30"/>
  <c r="O48" i="30"/>
  <c r="O50" i="30"/>
  <c r="O47" i="30"/>
  <c r="P21" i="30"/>
  <c r="O49" i="30"/>
  <c r="AE48" i="30"/>
  <c r="AE49" i="30"/>
  <c r="AE47" i="30"/>
  <c r="AJ17" i="30"/>
  <c r="AE50" i="30"/>
  <c r="K50" i="30"/>
  <c r="K47" i="30"/>
  <c r="L30" i="30"/>
  <c r="K49" i="30"/>
  <c r="K48" i="30"/>
  <c r="S47" i="30"/>
  <c r="Y65" i="30"/>
  <c r="M53" i="30"/>
  <c r="K52" i="30"/>
  <c r="Q59" i="30"/>
  <c r="O54" i="30"/>
  <c r="Q60" i="30"/>
  <c r="P52" i="35"/>
  <c r="P55" i="35"/>
  <c r="P56" i="35"/>
  <c r="H47" i="35"/>
  <c r="F49" i="35"/>
  <c r="F50" i="35"/>
  <c r="F44" i="35"/>
  <c r="F47" i="35"/>
  <c r="F42" i="35"/>
  <c r="G40" i="35"/>
  <c r="F51" i="35"/>
  <c r="I65" i="30"/>
  <c r="I65" i="41"/>
  <c r="I65" i="39"/>
  <c r="I67" i="30"/>
  <c r="H46" i="35"/>
  <c r="F48" i="35"/>
  <c r="I67" i="41"/>
  <c r="I67" i="39"/>
  <c r="F43" i="35"/>
  <c r="I66" i="30"/>
  <c r="Y66" i="30"/>
  <c r="I66" i="39"/>
  <c r="Y66" i="39"/>
  <c r="I66" i="41"/>
  <c r="Y66" i="41"/>
  <c r="Q57" i="30"/>
  <c r="Q61" i="30"/>
  <c r="Q57" i="39"/>
  <c r="Q61" i="39"/>
  <c r="Q57" i="41"/>
  <c r="Q61" i="41"/>
  <c r="Q58" i="30"/>
  <c r="Q58" i="41"/>
  <c r="Q58" i="39"/>
</calcChain>
</file>

<file path=xl/sharedStrings.xml><?xml version="1.0" encoding="utf-8"?>
<sst xmlns="http://schemas.openxmlformats.org/spreadsheetml/2006/main" count="1755" uniqueCount="238">
  <si>
    <t>PREPARATION PLANNING CDI 2025-2026</t>
  </si>
  <si>
    <t>Dès l'ouverture de ce document , penser à l"ENREGISTRER SOUS", et indiquer le nom du salarié dans le nom du fichier.</t>
  </si>
  <si>
    <t xml:space="preserve">Ensuite, suivre les 5 étapes de la notice pour remplir correctement le planning. </t>
  </si>
  <si>
    <t>La notice et le planning sont automatisés avec des formules sur certaines cellules ; si vous intervenez sur ces cellules, les formules seront supprimées.</t>
  </si>
  <si>
    <r>
      <t xml:space="preserve">Les textes de référence sont la </t>
    </r>
    <r>
      <rPr>
        <b/>
        <sz val="14"/>
        <rFont val="Calibri"/>
        <family val="2"/>
      </rPr>
      <t>CC EPNL du 11 avril 2022, l'accord sur le temps partiel du 18 oct 2013, l'accord de branche relatif au travail de nuit du 02 juillet</t>
    </r>
  </si>
  <si>
    <r>
      <rPr>
        <b/>
        <sz val="14"/>
        <rFont val="Calibri"/>
        <family val="2"/>
      </rPr>
      <t>2002 et l'accord sur les équivalences de nuit du 31 janvier 2007</t>
    </r>
    <r>
      <rPr>
        <sz val="14"/>
        <rFont val="Calibri"/>
        <family val="2"/>
      </rPr>
      <t xml:space="preserve"> (ces textes sont disponibles sur le site de l'ASREC Centre).</t>
    </r>
  </si>
  <si>
    <t>1°/ Se munir de la FICHE DE CLASSIFICATION dûment remplie et du CONTRAT DE TRAVAIL du salarié</t>
  </si>
  <si>
    <r>
      <rPr>
        <b/>
        <i/>
        <sz val="14"/>
        <rFont val="Calibri"/>
        <family val="2"/>
      </rPr>
      <t xml:space="preserve">2 temps de travail </t>
    </r>
    <r>
      <rPr>
        <i/>
        <sz val="14"/>
        <rFont val="Calibri"/>
        <family val="2"/>
      </rPr>
      <t>sont applicables dans les établissements relevant de la Convention collective EPNL IDCC 3218</t>
    </r>
  </si>
  <si>
    <t>(hors accords d'établissement concernant les Temps de Travail / Congés Payés plus avantageux).</t>
  </si>
  <si>
    <r>
      <t xml:space="preserve">=&gt; Fonctions ouvrant droit à </t>
    </r>
    <r>
      <rPr>
        <b/>
        <i/>
        <u/>
        <sz val="14"/>
        <rFont val="Calibri"/>
        <family val="2"/>
      </rPr>
      <t>36 jours ouvrables de congés payés</t>
    </r>
    <r>
      <rPr>
        <b/>
        <i/>
        <sz val="14"/>
        <rFont val="Calibri"/>
        <family val="2"/>
      </rPr>
      <t xml:space="preserve">, </t>
    </r>
    <r>
      <rPr>
        <i/>
        <sz val="14"/>
        <rFont val="Calibri"/>
        <family val="2"/>
      </rPr>
      <t xml:space="preserve">soit un temps de travail de référence de 1558h hors jour de solidarité </t>
    </r>
    <r>
      <rPr>
        <i/>
        <sz val="9"/>
        <rFont val="Calibri"/>
        <family val="2"/>
      </rPr>
      <t>(1565h avec jour de solidarité)</t>
    </r>
  </si>
  <si>
    <t>=&gt; code emploi "1 -EPNL 36 jours de CP" pour compléter le planning</t>
  </si>
  <si>
    <t>Sont concernés :</t>
  </si>
  <si>
    <t xml:space="preserve">     - les employés ou agents de maitrise : si le temps de travail consacré aux fonctions ouvrant droit à 36 jours de CP correspond à 65% et plus de leur temps de travail apprécié sur l'année ;</t>
  </si>
  <si>
    <t xml:space="preserve">     - les cadres tels que définis dans la CC EPNL : salariés de strate III totalisant au moins 12 degrés au titre des critères classant, dont 3 en "responsabilité" et 3 en "autonomie", et salariés de strate IV.</t>
  </si>
  <si>
    <r>
      <t xml:space="preserve">=&gt; Fonctions ouvrant droit à </t>
    </r>
    <r>
      <rPr>
        <b/>
        <i/>
        <u/>
        <sz val="14"/>
        <rFont val="Calibri"/>
        <family val="2"/>
      </rPr>
      <t>51 jours ouvrables de congés payés</t>
    </r>
    <r>
      <rPr>
        <b/>
        <i/>
        <sz val="14"/>
        <rFont val="Calibri"/>
        <family val="2"/>
      </rPr>
      <t xml:space="preserve">, </t>
    </r>
    <r>
      <rPr>
        <i/>
        <sz val="14"/>
        <rFont val="Calibri"/>
        <family val="2"/>
      </rPr>
      <t xml:space="preserve">soit un temps de travail de référence de 1470h hors jour de solidarité </t>
    </r>
    <r>
      <rPr>
        <i/>
        <sz val="9"/>
        <rFont val="Calibri"/>
        <family val="2"/>
      </rPr>
      <t>(1477h avec jour de solidarité)</t>
    </r>
  </si>
  <si>
    <t xml:space="preserve">       </t>
  </si>
  <si>
    <t>=&gt; code emploi "2 -EPNL 51 jours de CP" pour compléter le planning</t>
  </si>
  <si>
    <t xml:space="preserve">     - les employés ou agents de maitrise : si le temps de travail consacré aux fonctions ouvrant droit à 51 jours de CP correspond à plus de 35% de leur temps de travail apprécié sur l'année.</t>
  </si>
  <si>
    <t>2°/ Compléter les renseignements du salarié dans les tableaux  ci-dessous (uniquement les cellules bleutées)</t>
  </si>
  <si>
    <t xml:space="preserve">Renseigner le nom de l'établissement :  </t>
  </si>
  <si>
    <t>ASREC CENTRE*</t>
  </si>
  <si>
    <t xml:space="preserve">Renseigner la Ville :  </t>
  </si>
  <si>
    <t>TOURS*</t>
  </si>
  <si>
    <t xml:space="preserve">Le Chef d'établissement ou OGEC :  </t>
  </si>
  <si>
    <t>MADAME*</t>
  </si>
  <si>
    <t xml:space="preserve">Renseigner nom &amp; prénom du salarié :  </t>
  </si>
  <si>
    <t>MONSIEUR*</t>
  </si>
  <si>
    <t xml:space="preserve">Renseigner l'emploi du salarié :  </t>
  </si>
  <si>
    <t>EMPLOYE*</t>
  </si>
  <si>
    <t xml:space="preserve">* Ces informations sont des exemples. </t>
  </si>
  <si>
    <t>Informations liées au contrat de travail</t>
  </si>
  <si>
    <r>
      <t xml:space="preserve">Emploi </t>
    </r>
    <r>
      <rPr>
        <sz val="14"/>
        <rFont val="Calibri"/>
        <family val="2"/>
      </rPr>
      <t xml:space="preserve">*
</t>
    </r>
    <r>
      <rPr>
        <i/>
        <sz val="12"/>
        <rFont val="Calibri"/>
        <family val="2"/>
      </rPr>
      <t>* Se placer sur la cellule bleue et choisir dans le menu déroulant le code emploi selon la fiche de classification (voir ci-dessus) ou l'accord d'établissement</t>
    </r>
    <r>
      <rPr>
        <sz val="12"/>
        <rFont val="Calibri"/>
        <family val="2"/>
      </rPr>
      <t xml:space="preserve"> concernant le Temps de travail /CP</t>
    </r>
  </si>
  <si>
    <t>2 - EPNL 51 jours de CP</t>
  </si>
  <si>
    <t>1 - EPNL 36 jours de CP</t>
  </si>
  <si>
    <t>Base tps plein</t>
  </si>
  <si>
    <t>/!\ Le système de heures d'équivalence ne s’applique 
que pour les salariés à temps plein</t>
  </si>
  <si>
    <r>
      <t xml:space="preserve">TOTAL NOMBRE HEURES AU CONTRAT A REALISER SUR L'ANNÉE
</t>
    </r>
    <r>
      <rPr>
        <b/>
        <sz val="12"/>
        <rFont val="Calibri"/>
        <family val="2"/>
      </rPr>
      <t>(y compris Journée de solidarité, hors CP  et JF)</t>
    </r>
  </si>
  <si>
    <r>
      <t>Heures annuelles de travail  prévues sur le contrat de travail 
(</t>
    </r>
    <r>
      <rPr>
        <b/>
        <u/>
        <sz val="14"/>
        <rFont val="Calibri"/>
        <family val="2"/>
      </rPr>
      <t>hors congés payés, jours fériés et JOURNEE DE SOLIDARITE)</t>
    </r>
  </si>
  <si>
    <t>36j CP</t>
  </si>
  <si>
    <t>51j CP</t>
  </si>
  <si>
    <t>nbre CP différent</t>
  </si>
  <si>
    <r>
      <t xml:space="preserve">Nombre heures Journée de Solidarité </t>
    </r>
    <r>
      <rPr>
        <sz val="10"/>
        <rFont val="Calibri"/>
        <family val="2"/>
      </rPr>
      <t>(base 7h tps plein)</t>
    </r>
  </si>
  <si>
    <t>3 - Accord Etablissement : CP</t>
  </si>
  <si>
    <t>CP jours ouvrables (du lundi au samedi)</t>
  </si>
  <si>
    <t>Convention</t>
  </si>
  <si>
    <t>Jours Calendaires</t>
  </si>
  <si>
    <t>Accord Etb</t>
  </si>
  <si>
    <t>- Dimanches</t>
  </si>
  <si>
    <r>
      <rPr>
        <b/>
        <sz val="14"/>
        <rFont val="Calibri"/>
        <family val="2"/>
      </rPr>
      <t>Jours CP supplémentaires éventuels</t>
    </r>
    <r>
      <rPr>
        <sz val="14"/>
        <rFont val="Calibri"/>
        <family val="2"/>
      </rPr>
      <t xml:space="preserve">
</t>
    </r>
    <r>
      <rPr>
        <i/>
        <u/>
        <sz val="10"/>
        <rFont val="Calibri"/>
        <family val="2"/>
      </rPr>
      <t>ex</t>
    </r>
    <r>
      <rPr>
        <i/>
        <sz val="10"/>
        <rFont val="Calibri"/>
        <family val="2"/>
      </rPr>
      <t xml:space="preserve"> : congés supplémentaires selon l'ancienneté,
report des CP non pris du fait d'une absence maladie/AT/maternité...</t>
    </r>
  </si>
  <si>
    <t>j de CP en +</t>
  </si>
  <si>
    <t>- nbre jours ouvrables CP</t>
  </si>
  <si>
    <t xml:space="preserve">Total CP </t>
  </si>
  <si>
    <t>- Jours fériés</t>
  </si>
  <si>
    <r>
      <t xml:space="preserve"> = TOTAL NOMBRE HEURES A PLANIFIER SUR L'ANNÉE
</t>
    </r>
    <r>
      <rPr>
        <b/>
        <sz val="12"/>
        <rFont val="Calibri"/>
        <family val="2"/>
      </rPr>
      <t>(y compris Journée de solidarité, hors CP  et JF)</t>
    </r>
  </si>
  <si>
    <t>= Jours ouvrables</t>
  </si>
  <si>
    <t xml:space="preserve">Nombre Heures annuelles payées (CP et JF inclus) </t>
  </si>
  <si>
    <t xml:space="preserve"> / Nbre jours ouvrables semaine</t>
  </si>
  <si>
    <t>BASE MENSUELLE LISSEE</t>
  </si>
  <si>
    <t>doit correspondre à la base mensuelle présente sur le bulletin de salaire</t>
  </si>
  <si>
    <t>= Nbre semaine de travail</t>
  </si>
  <si>
    <t>Pour Information : Temps de Travail annualisé en % d'un temps plein</t>
  </si>
  <si>
    <t>* Nbre heures semaine tps plein</t>
  </si>
  <si>
    <t>= Temps de travail effectif</t>
  </si>
  <si>
    <r>
      <t>Le nombre d'heures à effectuer sur l'année de votre salarié sera reporté directement dans l'</t>
    </r>
    <r>
      <rPr>
        <b/>
        <sz val="14"/>
        <rFont val="Calibri"/>
        <family val="2"/>
      </rPr>
      <t>onglet "Planning CDI".</t>
    </r>
  </si>
  <si>
    <t>+ Journée de solidarité</t>
  </si>
  <si>
    <t>/!\ Pensez à vérifier la cohérence avec l'année précédente.</t>
  </si>
  <si>
    <t>= Temps travail total effectif</t>
  </si>
  <si>
    <t>3°/ Renseigner dans l'onglet "Planning CDI" la répartition hebdomadaire de votre salarié</t>
  </si>
  <si>
    <t>=&gt; TAUX CP</t>
  </si>
  <si>
    <r>
      <t xml:space="preserve">Le reliquat d'heures est indiqué dans la cellule </t>
    </r>
    <r>
      <rPr>
        <b/>
        <sz val="14"/>
        <rFont val="Calibri"/>
        <family val="2"/>
      </rPr>
      <t>"solde". Il doit être égal à 0.</t>
    </r>
  </si>
  <si>
    <r>
      <t xml:space="preserve">          * Si le reliquat est positif, il faut  rajouter des heures soit sur des jours travaillés </t>
    </r>
    <r>
      <rPr>
        <sz val="12"/>
        <rFont val="Calibri"/>
        <family val="2"/>
      </rPr>
      <t>(sans dépasser 12h par jour),</t>
    </r>
    <r>
      <rPr>
        <sz val="14"/>
        <rFont val="Calibri"/>
        <family val="2"/>
      </rPr>
      <t xml:space="preserve"> soit prévoir du travail pendant les vacances.</t>
    </r>
  </si>
  <si>
    <t xml:space="preserve">          * Si le reliquat est négatif, il faut revoir la répartition des heures effectuées pour arriver à un solde à 0.</t>
  </si>
  <si>
    <t>Si le planning doit être modifié en cours d'année (modification d'horaire, de jour de travail, de CP....), il faut que toutes les modifications soient signées par le salarié</t>
  </si>
  <si>
    <t>et l'employeur, soit en rééditant et signant un nouveau planning à chaque modification ; soit sur une feuille libre datée, signée et attachée au planning initial.</t>
  </si>
  <si>
    <t>Le planning initial signé et les suivants (ou feuilles attachées) doivent être conservés dans le dossier du salarié.</t>
  </si>
  <si>
    <r>
      <rPr>
        <b/>
        <sz val="14"/>
        <rFont val="Calibri"/>
        <family val="2"/>
      </rPr>
      <t>ATTENTION     Penser à convertir les minutes en centièmes</t>
    </r>
  </si>
  <si>
    <t>Convertisseur en centièmes :</t>
  </si>
  <si>
    <t>Minutes</t>
  </si>
  <si>
    <t>Centièmes</t>
  </si>
  <si>
    <t>ex : si votre salarié commence à 8H30min, il faut renseigner 8,50.</t>
  </si>
  <si>
    <t>4°/ Indiquer les congés payés et les jours de repos compensateur</t>
  </si>
  <si>
    <r>
      <t>- Placer les jours de repos compensateur sur le calendrier en inscrivant</t>
    </r>
    <r>
      <rPr>
        <b/>
        <sz val="14"/>
        <rFont val="Calibri"/>
        <family val="2"/>
      </rPr>
      <t xml:space="preserve"> "RC" sur le planning. </t>
    </r>
  </si>
  <si>
    <t>Pour connaître le nombre de jours à positionner, vous référer à la cellule "Y66" du planning</t>
  </si>
  <si>
    <t xml:space="preserve"> /!\Pour le bon fonctionnement des formules de calcul du repos compensateur, il faut bien prévoir les horaires des jours concernés dans le tableau supérieur </t>
  </si>
  <si>
    <t>de l'onglet "Planning SURV INTERNAT"</t>
  </si>
  <si>
    <t>Le repos compensateur doit être positionné sur des jours habituellement travaillés (soit du dimanche au vendredi sur ces plannings).</t>
  </si>
  <si>
    <r>
      <t>- Placer les congés payés sur le calendrier en inscrivant</t>
    </r>
    <r>
      <rPr>
        <b/>
        <sz val="14"/>
        <rFont val="Calibri"/>
        <family val="2"/>
      </rPr>
      <t xml:space="preserve"> "CP" sur le planning. </t>
    </r>
  </si>
  <si>
    <t>Les congés payés se calculent en jours ouvrables (6 jours/semaine, du lundi au samedi). Seuls les dimanches et les jours fériés ne sont pas des jours ouvrables.</t>
  </si>
  <si>
    <t>4 semaines consécutives doivent être attribuées pendant les vacances d'été.</t>
  </si>
  <si>
    <r>
      <rPr>
        <b/>
        <sz val="14"/>
        <color indexed="10"/>
        <rFont val="Calibri"/>
        <family val="2"/>
      </rPr>
      <t>Le 1er jour à décompter est le 1er jour qui aurait été normalement travaillé si le salarié n'était pas parti en congés</t>
    </r>
    <r>
      <rPr>
        <sz val="14"/>
        <rFont val="Calibri"/>
        <family val="2"/>
      </rPr>
      <t xml:space="preserve"> </t>
    </r>
  </si>
  <si>
    <t>(par exemple : si le salarié ne travaille pas le mercredi, ses CP commenceront le jeudi. Par contre, s'il prend des CP du lundi au samedi, il faut bien mettre CP sur le mercredi).</t>
  </si>
  <si>
    <r>
      <t>- Pour les périodes non travaillées qui ne sont pas ni des CP ni des RC,</t>
    </r>
    <r>
      <rPr>
        <b/>
        <sz val="14"/>
        <rFont val="Calibri"/>
        <family val="2"/>
      </rPr>
      <t xml:space="preserve"> indiquer "0H" (zéro heure).</t>
    </r>
  </si>
  <si>
    <t>Les salariés dont le travail est annualisé sur la référence de 1470h (51 j de CP  - 1477h avec JS) bénéficient d'une semaine à 0H (6 jours ouvrables consécutifs).</t>
  </si>
  <si>
    <t>5°/ Signatures</t>
  </si>
  <si>
    <t>Le planning est à éditer au minimum en 2 exemplaires (1 pour le salarié - 1 pour l'employeur), et tous les exemplaires sont signés par le salarié et l'employeur.</t>
  </si>
  <si>
    <t>1 original signé du planning  doit être conservé dans le dossier du salarié.</t>
  </si>
  <si>
    <r>
      <t xml:space="preserve">Penser à retourner un </t>
    </r>
    <r>
      <rPr>
        <b/>
        <i/>
        <u/>
        <sz val="16"/>
        <rFont val="Calibri"/>
        <family val="2"/>
      </rPr>
      <t>exemplaire signé du planning</t>
    </r>
    <r>
      <rPr>
        <b/>
        <i/>
        <sz val="16"/>
        <rFont val="Calibri"/>
        <family val="2"/>
      </rPr>
      <t xml:space="preserve"> à l'ASREC Centre, ainsi que le </t>
    </r>
    <r>
      <rPr>
        <b/>
        <i/>
        <u/>
        <sz val="16"/>
        <rFont val="Calibri"/>
        <family val="2"/>
      </rPr>
      <t xml:space="preserve">détail des heures si vous avez utilisé l'onglet Horaires sur </t>
    </r>
  </si>
  <si>
    <t>3 tranches.</t>
  </si>
  <si>
    <t>EMPLOI</t>
  </si>
  <si>
    <t>CP</t>
  </si>
  <si>
    <t>HEURES</t>
  </si>
  <si>
    <t>SEMAINE</t>
  </si>
  <si>
    <t>1 - SEP 36 jours de CP</t>
  </si>
  <si>
    <t>2 - SEP 51 jours de CP</t>
  </si>
  <si>
    <t>ANCIENNETE</t>
  </si>
  <si>
    <t>36 J</t>
  </si>
  <si>
    <t>51 J</t>
  </si>
  <si>
    <r>
      <t>Quelques rappels de règles  sur le temps de travail</t>
    </r>
    <r>
      <rPr>
        <b/>
        <sz val="18"/>
        <rFont val="Calibri"/>
        <family val="2"/>
      </rPr>
      <t xml:space="preserve"> :</t>
    </r>
  </si>
  <si>
    <t xml:space="preserve"> - Définition du travail de nuit</t>
  </si>
  <si>
    <r>
      <t>Le travail </t>
    </r>
    <r>
      <rPr>
        <b/>
        <sz val="11"/>
        <rFont val="Aptos"/>
        <family val="2"/>
      </rPr>
      <t>entre 21 heures et 6 heures</t>
    </r>
    <r>
      <rPr>
        <sz val="11"/>
        <rFont val="Aptos"/>
        <family val="2"/>
      </rPr>
      <t> est considéré comme travail de nuit.</t>
    </r>
  </si>
  <si>
    <t>Est considéré comme travailleur de nuit, tout travailleur qui :</t>
  </si>
  <si>
    <r>
      <t>- soit </t>
    </r>
    <r>
      <rPr>
        <b/>
        <sz val="11"/>
        <rFont val="Aptos"/>
        <family val="2"/>
      </rPr>
      <t>accomplit au moins 2 jours par semaine selon son horaire habituel au moins 3 heures de temps de travail quotidien entre 21 heures et 6 heures</t>
    </r>
    <r>
      <rPr>
        <sz val="11"/>
        <rFont val="Aptos"/>
        <family val="2"/>
      </rPr>
      <t> ;</t>
    </r>
  </si>
  <si>
    <r>
      <t>- soit </t>
    </r>
    <r>
      <rPr>
        <b/>
        <sz val="11"/>
        <rFont val="Aptos"/>
        <family val="2"/>
      </rPr>
      <t>accomplit au cours d’une période d’une année au moins 264 heures de travail effectif durant la plage 21h-6h</t>
    </r>
    <r>
      <rPr>
        <sz val="11"/>
        <rFont val="Aptos"/>
        <family val="2"/>
      </rPr>
      <t> (224 heures si application des horaires d’équivalence).)</t>
    </r>
  </si>
  <si>
    <t>Pour l’appréciation de la qualité de travailleur de nuit, le temps de travail des salariés soumis au régime d’équivalences est décompté en appliquant le régime d’équivalence ci-dessous.</t>
  </si>
  <si>
    <t>- Régime d’équivalence</t>
  </si>
  <si>
    <t>Le système d’équivalence ne s’applique que pour les salariés à temps plein, dont l’activité inclut un travail de nuit.</t>
  </si>
  <si>
    <t>Si le salarié est à temps partiel, les heures de nuit seront décomptées intégralement (heure pour heure), et le régime d’équivalence ne s’appliquera pas.</t>
  </si>
  <si>
    <r>
      <t>Compte tenu des spécificités liées aux fonctions des personnels chargés de la surveillance nocturne des internats, qui sont autorisés à dormir dans une chambre individuelle
mise à leur disposition à cet effet, il est convenu d’un horaire d’équivalence défini comme suit </t>
    </r>
    <r>
      <rPr>
        <b/>
        <sz val="11"/>
        <rFont val="Aptos"/>
        <family val="2"/>
      </rPr>
      <t>: 45 % de la surveillance de nuit équivaut à du temps de travail effectif 
pour la détermination de la rémunération et l’application de la législation française sur la durée du travail.</t>
    </r>
  </si>
  <si>
    <r>
      <t>La surveillance de nuit s’entend de la période de veille en chambre, comprise entre le coucher et le lever des élèves ; </t>
    </r>
    <r>
      <rPr>
        <b/>
        <sz val="11"/>
        <rFont val="Aptos"/>
        <family val="2"/>
      </rPr>
      <t>son amplitude ne peut pas dépasser 7 heures</t>
    </r>
    <r>
      <rPr>
        <sz val="11"/>
        <rFont val="Aptos"/>
        <family val="2"/>
      </rPr>
      <t>. 
Les périodes d’intervention sont considérées comme du temps de travail effectif et rémunérées comme tel. L’organisation précise de la période horaire concernée 
est fixée par l’établissement.</t>
    </r>
  </si>
  <si>
    <r>
      <rPr>
        <b/>
        <sz val="14"/>
        <rFont val="Calibri"/>
        <family val="2"/>
      </rPr>
      <t>- Durée maximale de travail:</t>
    </r>
  </si>
  <si>
    <t>La durée maximale quotidienne</t>
  </si>
  <si>
    <t>Les travailleurs de nuit sont soumis à deux plafonds quotidiens :</t>
  </si>
  <si>
    <r>
      <t>- une durée maximale quotidienne de travail de </t>
    </r>
    <r>
      <rPr>
        <b/>
        <sz val="11"/>
        <rFont val="Aptos"/>
        <family val="2"/>
      </rPr>
      <t>12 heures</t>
    </r>
    <r>
      <rPr>
        <sz val="11"/>
        <rFont val="Aptos"/>
        <family val="2"/>
      </rPr>
      <t> en appliquant le </t>
    </r>
    <r>
      <rPr>
        <b/>
        <sz val="11"/>
        <rFont val="Aptos"/>
        <family val="2"/>
      </rPr>
      <t>régime d’équivalence</t>
    </r>
    <r>
      <rPr>
        <sz val="11"/>
        <rFont val="Aptos"/>
        <family val="2"/>
      </rPr>
      <t>,</t>
    </r>
  </si>
  <si>
    <r>
      <t xml:space="preserve"> - une durée maximale quotidienne de travail de </t>
    </r>
    <r>
      <rPr>
        <b/>
        <sz val="11"/>
        <rFont val="Aptos"/>
        <family val="2"/>
      </rPr>
      <t>14 heures 30</t>
    </r>
    <r>
      <rPr>
        <sz val="11"/>
        <rFont val="Aptos"/>
        <family val="2"/>
      </rPr>
      <t> sur une période quelconque de 24 heures, </t>
    </r>
    <r>
      <rPr>
        <b/>
        <sz val="11"/>
        <rFont val="Aptos"/>
        <family val="2"/>
      </rPr>
      <t>décomptée heure pour heure</t>
    </r>
    <r>
      <rPr>
        <sz val="11"/>
        <rFont val="Aptos"/>
        <family val="2"/>
      </rPr>
      <t> (pas de prise en compte de l’horaire d’équivalence).</t>
    </r>
  </si>
  <si>
    <t>La durée maximale hebdomadaire </t>
  </si>
  <si>
    <t>Les travailleurs de nuit sont soumis à trois plafonds hebdomadaires :</t>
  </si>
  <si>
    <r>
      <t xml:space="preserve"> - une durée maximale hebdomadaire de </t>
    </r>
    <r>
      <rPr>
        <b/>
        <sz val="11"/>
        <rFont val="Aptos"/>
        <family val="2"/>
      </rPr>
      <t>48 heures</t>
    </r>
    <r>
      <rPr>
        <sz val="11"/>
        <rFont val="Aptos"/>
        <family val="2"/>
      </rPr>
      <t> appréciées sur une semaine en appliquant le </t>
    </r>
    <r>
      <rPr>
        <b/>
        <sz val="11"/>
        <rFont val="Aptos"/>
        <family val="2"/>
      </rPr>
      <t>régime d’équivalence</t>
    </r>
    <r>
      <rPr>
        <sz val="11"/>
        <rFont val="Aptos"/>
        <family val="2"/>
      </rPr>
      <t>,</t>
    </r>
  </si>
  <si>
    <r>
      <t xml:space="preserve"> - une durée maximale hebdomadaire de </t>
    </r>
    <r>
      <rPr>
        <b/>
        <sz val="11"/>
        <rFont val="Aptos"/>
        <family val="2"/>
      </rPr>
      <t>40 heures</t>
    </r>
    <r>
      <rPr>
        <sz val="11"/>
        <rFont val="Aptos"/>
        <family val="2"/>
      </rPr>
      <t> appréciées sur une période de </t>
    </r>
    <r>
      <rPr>
        <b/>
        <sz val="11"/>
        <rFont val="Aptos"/>
        <family val="2"/>
      </rPr>
      <t>12 semaines consécutives</t>
    </r>
    <r>
      <rPr>
        <sz val="11"/>
        <rFont val="Aptos"/>
        <family val="2"/>
      </rPr>
      <t> en appliquant le </t>
    </r>
    <r>
      <rPr>
        <b/>
        <sz val="11"/>
        <rFont val="Aptos"/>
        <family val="2"/>
      </rPr>
      <t>régime d’équivalence</t>
    </r>
    <r>
      <rPr>
        <sz val="11"/>
        <rFont val="Aptos"/>
        <family val="2"/>
      </rPr>
      <t>,</t>
    </r>
  </si>
  <si>
    <r>
      <t xml:space="preserve"> - une durée maximale hebdomadaire de </t>
    </r>
    <r>
      <rPr>
        <b/>
        <sz val="11"/>
        <rFont val="Aptos"/>
        <family val="2"/>
      </rPr>
      <t>48 heures</t>
    </r>
    <r>
      <rPr>
        <sz val="11"/>
        <rFont val="Aptos"/>
        <family val="2"/>
      </rPr>
      <t> sur une période quelconque de </t>
    </r>
    <r>
      <rPr>
        <b/>
        <sz val="11"/>
        <rFont val="Aptos"/>
        <family val="2"/>
      </rPr>
      <t>4 mois consécutifs</t>
    </r>
    <r>
      <rPr>
        <sz val="11"/>
        <rFont val="Aptos"/>
        <family val="2"/>
      </rPr>
      <t> (les périodes de congés payés étant neutralisées), </t>
    </r>
    <r>
      <rPr>
        <b/>
        <sz val="11"/>
        <rFont val="Aptos"/>
        <family val="2"/>
      </rPr>
      <t>décomptée heure
pour heure</t>
    </r>
    <r>
      <rPr>
        <sz val="11"/>
        <rFont val="Aptos"/>
        <family val="2"/>
      </rPr>
      <t> (pas de prise en compte de l’horaire d’équivalence).</t>
    </r>
  </si>
  <si>
    <t>Les heures supplémentaires sont décomptées au-delà de 40 heures par semaine et payées au cours du mois considéré</t>
  </si>
  <si>
    <t>- Repos quotidien</t>
  </si>
  <si>
    <t>Il peut être dérogé au repos quotidien de 12 heures.</t>
  </si>
  <si>
    <t>Le repos quotidien peut être réduit à 9 heures pour les personnels affectés aux surveillances d'internat. En contrepartie, le service donné de nuit est limité à 4 nuits par semaine, et donne</t>
  </si>
  <si>
    <t>droit à un repos hebdomadaire de 48 heures consécutives sauf demande dérogatoire du salarié.</t>
  </si>
  <si>
    <t>- Repos hebdomadaire</t>
  </si>
  <si>
    <t>Il peut être dérogé au repos dominical pour les personnels d’internat. En conséquence, le service régulier ou par roulement du dimanche et des jours fériés donne</t>
  </si>
  <si>
    <t>droit à 48 heures consécutives de repos dans la semaine considérée ou la semaine suivante, sauf accord différent entre les parties.</t>
  </si>
  <si>
    <t>- Compensation du travail de nuit</t>
  </si>
  <si>
    <r>
      <t>Il est accordé </t>
    </r>
    <r>
      <rPr>
        <b/>
        <sz val="11"/>
        <rFont val="Aptos"/>
        <family val="2"/>
      </rPr>
      <t>par quota de 10 heures</t>
    </r>
    <r>
      <rPr>
        <sz val="11"/>
        <rFont val="Aptos"/>
        <family val="2"/>
      </rPr>
      <t> de travail de nuit rémunérées, </t>
    </r>
    <r>
      <rPr>
        <b/>
        <sz val="11"/>
        <rFont val="Aptos"/>
        <family val="2"/>
      </rPr>
      <t>un repos de compensation fixé à 1 heure</t>
    </r>
    <r>
      <rPr>
        <sz val="11"/>
        <rFont val="Aptos"/>
        <family val="2"/>
      </rPr>
      <t>, pris sur le temps de travail.</t>
    </r>
  </si>
  <si>
    <r>
      <t>Exemple </t>
    </r>
    <r>
      <rPr>
        <i/>
        <sz val="11"/>
        <rFont val="Aptos"/>
        <family val="2"/>
      </rPr>
      <t>: arrivée du salariée à 17h30- départ à 7h</t>
    </r>
  </si>
  <si>
    <t>Les heures de travail de nuit sont les heures comprises entre 21h et 6h, soit une plage horaire de 9 heures. Si le salarié est rémunéré selon le régime d’équivalence :</t>
  </si>
  <si>
    <t>– 7 heures sont rémunérées sous le régime de l’équivalence, soit 3,15 heures rémunérées ;</t>
  </si>
  <si>
    <t>– 2 heures sont rémunérées intégralement.</t>
  </si>
  <si>
    <t>Le salarié acquiert donc 5,15 heures au regard du déclenchement du droit à repos de compensation.</t>
  </si>
  <si>
    <t>Les modalités de prise de ce repos sont définies par accord d’entreprise ou à défaut par l’employeur après consultation des représentants du personnel. 
Sauf accord particulier, les repos doivent êtres soldés au 31 août de l’année scolaire de référence.</t>
  </si>
  <si>
    <r>
      <t xml:space="preserve">Planning hors périodes scolaires
</t>
    </r>
    <r>
      <rPr>
        <b/>
        <sz val="11"/>
        <color indexed="10"/>
        <rFont val="Arial"/>
        <family val="2"/>
      </rPr>
      <t>à transmettre au salarié avec le planning annuel</t>
    </r>
  </si>
  <si>
    <t>Horaires hors période scolaire</t>
  </si>
  <si>
    <t>TOTAL</t>
  </si>
  <si>
    <t>Lundi</t>
  </si>
  <si>
    <t>de</t>
  </si>
  <si>
    <t>à</t>
  </si>
  <si>
    <t>Mardi</t>
  </si>
  <si>
    <t>Mercredi</t>
  </si>
  <si>
    <t>Jeudi</t>
  </si>
  <si>
    <t>Vendredi</t>
  </si>
  <si>
    <t>Samedi</t>
  </si>
  <si>
    <t>Etablissement</t>
  </si>
  <si>
    <t>:</t>
  </si>
  <si>
    <t>Calendrier 2025/2026</t>
  </si>
  <si>
    <t>Salarié</t>
  </si>
  <si>
    <t>Emploi :</t>
  </si>
  <si>
    <t>Horaire période scolaire surveillant de nuit</t>
  </si>
  <si>
    <t>Travail de jour J
(début journée de travail)</t>
  </si>
  <si>
    <t>Travail de nuit qui génère du Repos compensateur (RC)</t>
  </si>
  <si>
    <t>Travail de jour J+1
(fin journée de travail)</t>
  </si>
  <si>
    <t>(à partir de 21h à 23h)</t>
  </si>
  <si>
    <t>Période d'équivalence (23h à 6h)</t>
  </si>
  <si>
    <t>heures de présence</t>
  </si>
  <si>
    <t>heures effectives</t>
  </si>
  <si>
    <t>Heure Nuit = compensateur</t>
  </si>
  <si>
    <t>Dimanche</t>
  </si>
  <si>
    <t>D</t>
  </si>
  <si>
    <t>L</t>
  </si>
  <si>
    <t>M</t>
  </si>
  <si>
    <t>J</t>
  </si>
  <si>
    <t>V</t>
  </si>
  <si>
    <t>Septembre 2025</t>
  </si>
  <si>
    <t>Octobre</t>
  </si>
  <si>
    <t>Novembre</t>
  </si>
  <si>
    <t>Décembre</t>
  </si>
  <si>
    <t>Janvier 2026</t>
  </si>
  <si>
    <t>Février</t>
  </si>
  <si>
    <t>Mars</t>
  </si>
  <si>
    <t>Avril</t>
  </si>
  <si>
    <t>Mai</t>
  </si>
  <si>
    <t>Juin</t>
  </si>
  <si>
    <t>Juillet</t>
  </si>
  <si>
    <t>Août 2026</t>
  </si>
  <si>
    <t>Toussaint</t>
  </si>
  <si>
    <t>Jour de l'an</t>
  </si>
  <si>
    <t>Fête Trav;</t>
  </si>
  <si>
    <t>L. Pâques</t>
  </si>
  <si>
    <t>Vict. 1945</t>
  </si>
  <si>
    <t>Armistice</t>
  </si>
  <si>
    <t>Ascension</t>
  </si>
  <si>
    <t>Fête Nat.</t>
  </si>
  <si>
    <t>Assomption</t>
  </si>
  <si>
    <t>Noël</t>
  </si>
  <si>
    <t>L. Pentecôte</t>
  </si>
  <si>
    <t>Total</t>
  </si>
  <si>
    <t>Nb CP</t>
  </si>
  <si>
    <t>Nb 0H</t>
  </si>
  <si>
    <t>Nb RC</t>
  </si>
  <si>
    <t>Cumul CP ou CP par anticipation</t>
  </si>
  <si>
    <t>Cumul de période non travaillée "jour à 0 heure"</t>
  </si>
  <si>
    <t>Cumul Jours Repos compensateur (RC)</t>
  </si>
  <si>
    <t>Jours Fériés</t>
  </si>
  <si>
    <t>Congés scolaires de la Zone A</t>
  </si>
  <si>
    <t>Durée effective du travail  à répartir sur l'année 2025/2026</t>
  </si>
  <si>
    <t>INFO REPOS COMP.</t>
  </si>
  <si>
    <t>Nb nuits travaillées</t>
  </si>
  <si>
    <t>Heures RC</t>
  </si>
  <si>
    <t>Fait à :</t>
  </si>
  <si>
    <t>Le :</t>
  </si>
  <si>
    <t>dont journée de solidarité</t>
  </si>
  <si>
    <t xml:space="preserve">OGEC et/ou </t>
  </si>
  <si>
    <t>Nombre d'heures de travail prévu au présent calendrier</t>
  </si>
  <si>
    <t>dimanche</t>
  </si>
  <si>
    <t>Le Chef d'établissement :</t>
  </si>
  <si>
    <t>Le salarié :</t>
  </si>
  <si>
    <t>Heures repos compensateur à déduire</t>
  </si>
  <si>
    <t>lundi</t>
  </si>
  <si>
    <t xml:space="preserve">Accord du salarié sur sa programmation annuelle </t>
  </si>
  <si>
    <t>SOLDE</t>
  </si>
  <si>
    <t>mardi</t>
  </si>
  <si>
    <t>(y compris CP par anticipation)</t>
  </si>
  <si>
    <t>mercredi</t>
  </si>
  <si>
    <t>Signature précédée de la formule "bon pour accord"</t>
  </si>
  <si>
    <t>jeudi</t>
  </si>
  <si>
    <t>vendredi</t>
  </si>
  <si>
    <t>Congés payés (en jours) :</t>
  </si>
  <si>
    <t>% Tps de Travail /Temps plein :</t>
  </si>
  <si>
    <t>NB jours à postionner :</t>
  </si>
  <si>
    <t>Base mensuelle annualisée :</t>
  </si>
  <si>
    <t>h / mois</t>
  </si>
  <si>
    <t>Fête Trav.</t>
  </si>
  <si>
    <t>Congés scolaires de la Zone B</t>
  </si>
  <si>
    <t>Congés scolaires de la Zone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</si>
</sst>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dd/mm/yy;@"/>
  </numFmts>
  <fonts count="105">
    <font>
      <sz val="10"/>
      <name val="Arial"/>
    </font>
    <font>
      <sz val="7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sz val="9"/>
      <name val="Comic Sans MS"/>
      <family val="4"/>
    </font>
    <font>
      <b/>
      <sz val="7"/>
      <name val="Comic Sans MS"/>
      <family val="4"/>
    </font>
    <font>
      <sz val="8"/>
      <name val="Comic Sans MS"/>
      <family val="4"/>
    </font>
    <font>
      <b/>
      <sz val="8"/>
      <name val="Comic Sans MS"/>
      <family val="4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u/>
      <sz val="10"/>
      <name val="Comic Sans MS"/>
      <family val="4"/>
    </font>
    <font>
      <sz val="8"/>
      <name val="Arial"/>
      <family val="2"/>
    </font>
    <font>
      <sz val="7"/>
      <name val="Comic Sans MS"/>
      <family val="4"/>
    </font>
    <font>
      <b/>
      <sz val="9"/>
      <name val="Comic Sans MS"/>
      <family val="4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Comic Sans MS"/>
      <family val="4"/>
    </font>
    <font>
      <i/>
      <sz val="9"/>
      <name val="Comic Sans MS"/>
      <family val="4"/>
    </font>
    <font>
      <b/>
      <sz val="8"/>
      <color indexed="10"/>
      <name val="Comic Sans MS"/>
      <family val="4"/>
    </font>
    <font>
      <sz val="12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2"/>
      <name val="Calibri"/>
      <family val="2"/>
    </font>
    <font>
      <b/>
      <u/>
      <sz val="14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i/>
      <u/>
      <sz val="16"/>
      <name val="Calibri"/>
      <family val="2"/>
    </font>
    <font>
      <b/>
      <i/>
      <sz val="16"/>
      <name val="Calibri"/>
      <family val="2"/>
    </font>
    <font>
      <b/>
      <sz val="14"/>
      <color indexed="10"/>
      <name val="Calibri"/>
      <family val="2"/>
    </font>
    <font>
      <b/>
      <sz val="5"/>
      <name val="Comic Sans MS"/>
      <family val="4"/>
    </font>
    <font>
      <sz val="5.5"/>
      <name val="Comic Sans MS"/>
      <family val="4"/>
    </font>
    <font>
      <b/>
      <u/>
      <sz val="18"/>
      <name val="Calibri"/>
      <family val="2"/>
    </font>
    <font>
      <b/>
      <sz val="18"/>
      <name val="Calibri"/>
      <family val="2"/>
    </font>
    <font>
      <sz val="10"/>
      <name val="Arial"/>
      <family val="2"/>
    </font>
    <font>
      <b/>
      <i/>
      <sz val="14"/>
      <name val="Calibri"/>
      <family val="2"/>
    </font>
    <font>
      <b/>
      <i/>
      <u/>
      <sz val="14"/>
      <name val="Calibri"/>
      <family val="2"/>
    </font>
    <font>
      <i/>
      <sz val="9"/>
      <name val="Calibri"/>
      <family val="2"/>
    </font>
    <font>
      <i/>
      <u/>
      <sz val="10"/>
      <name val="Calibri"/>
      <family val="2"/>
    </font>
    <font>
      <i/>
      <sz val="10"/>
      <name val="Calibri"/>
      <family val="2"/>
    </font>
    <font>
      <b/>
      <sz val="6"/>
      <name val="Comic Sans MS"/>
      <family val="4"/>
    </font>
    <font>
      <sz val="11"/>
      <name val="Aptos"/>
      <family val="2"/>
    </font>
    <font>
      <b/>
      <sz val="11"/>
      <name val="Aptos"/>
      <family val="2"/>
    </font>
    <font>
      <b/>
      <i/>
      <sz val="11"/>
      <name val="Aptos"/>
      <family val="2"/>
    </font>
    <font>
      <i/>
      <sz val="11"/>
      <name val="Aptos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2"/>
      <name val="Comic Sans MS"/>
      <family val="4"/>
    </font>
    <font>
      <sz val="9"/>
      <name val="Arial"/>
      <family val="2"/>
    </font>
    <font>
      <sz val="14"/>
      <color theme="0"/>
      <name val="Calibri"/>
      <family val="2"/>
      <scheme val="minor"/>
    </font>
    <font>
      <sz val="13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6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7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omic Sans MS"/>
      <family val="4"/>
    </font>
    <font>
      <sz val="8"/>
      <color theme="0"/>
      <name val="Arial"/>
      <family val="2"/>
    </font>
    <font>
      <i/>
      <sz val="9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3.5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FF0000"/>
      <name val="Aptos"/>
      <family val="2"/>
    </font>
    <font>
      <b/>
      <i/>
      <sz val="14"/>
      <color theme="3" tint="-0.499984740745262"/>
      <name val="Calibri"/>
      <family val="2"/>
      <scheme val="minor"/>
    </font>
    <font>
      <b/>
      <sz val="13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FF0000"/>
      <name val="Comic Sans MS"/>
      <family val="4"/>
    </font>
    <font>
      <b/>
      <sz val="7"/>
      <color rgb="FFFF0000"/>
      <name val="Comic Sans MS"/>
      <family val="4"/>
    </font>
  </fonts>
  <fills count="2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9" fontId="3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593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12" fillId="0" borderId="0" xfId="0" applyFont="1"/>
    <xf numFmtId="2" fontId="5" fillId="0" borderId="2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4" fillId="0" borderId="15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quotePrefix="1" applyFont="1" applyBorder="1" applyAlignment="1">
      <alignment horizontal="center"/>
    </xf>
    <xf numFmtId="0" fontId="51" fillId="5" borderId="0" xfId="1" applyFont="1" applyFill="1" applyAlignment="1">
      <alignment vertical="center"/>
    </xf>
    <xf numFmtId="2" fontId="52" fillId="5" borderId="17" xfId="1" applyNumberFormat="1" applyFont="1" applyFill="1" applyBorder="1" applyAlignment="1">
      <alignment vertical="center"/>
    </xf>
    <xf numFmtId="1" fontId="53" fillId="5" borderId="18" xfId="1" applyNumberFormat="1" applyFont="1" applyFill="1" applyBorder="1" applyAlignment="1">
      <alignment horizontal="center" vertical="center" wrapText="1"/>
    </xf>
    <xf numFmtId="0" fontId="53" fillId="0" borderId="19" xfId="1" quotePrefix="1" applyFont="1" applyBorder="1" applyAlignment="1">
      <alignment vertical="center"/>
    </xf>
    <xf numFmtId="0" fontId="53" fillId="5" borderId="0" xfId="1" applyFont="1" applyFill="1" applyAlignment="1">
      <alignment vertical="center"/>
    </xf>
    <xf numFmtId="0" fontId="54" fillId="0" borderId="0" xfId="1" quotePrefix="1" applyFont="1" applyAlignment="1">
      <alignment vertical="center"/>
    </xf>
    <xf numFmtId="0" fontId="53" fillId="0" borderId="0" xfId="1" applyFont="1" applyAlignment="1">
      <alignment vertical="center"/>
    </xf>
    <xf numFmtId="0" fontId="55" fillId="0" borderId="0" xfId="1" applyFont="1" applyAlignment="1">
      <alignment horizontal="left" vertical="center"/>
    </xf>
    <xf numFmtId="0" fontId="56" fillId="0" borderId="0" xfId="1" applyFont="1" applyAlignment="1">
      <alignment horizontal="left" vertical="center"/>
    </xf>
    <xf numFmtId="0" fontId="57" fillId="0" borderId="0" xfId="1" applyFont="1" applyAlignment="1">
      <alignment vertical="center"/>
    </xf>
    <xf numFmtId="0" fontId="58" fillId="0" borderId="0" xfId="1" applyFont="1" applyAlignment="1">
      <alignment vertical="center"/>
    </xf>
    <xf numFmtId="0" fontId="53" fillId="5" borderId="0" xfId="1" quotePrefix="1" applyFont="1" applyFill="1" applyAlignment="1">
      <alignment horizontal="left" vertical="center"/>
    </xf>
    <xf numFmtId="0" fontId="53" fillId="5" borderId="0" xfId="1" applyFont="1" applyFill="1" applyAlignment="1">
      <alignment horizontal="center" vertical="center"/>
    </xf>
    <xf numFmtId="0" fontId="59" fillId="5" borderId="0" xfId="1" applyFont="1" applyFill="1" applyAlignment="1">
      <alignment vertical="center"/>
    </xf>
    <xf numFmtId="0" fontId="15" fillId="0" borderId="0" xfId="1"/>
    <xf numFmtId="0" fontId="32" fillId="5" borderId="0" xfId="1" applyFont="1" applyFill="1" applyAlignment="1">
      <alignment horizontal="left" vertical="center"/>
    </xf>
    <xf numFmtId="0" fontId="60" fillId="5" borderId="0" xfId="1" applyFont="1" applyFill="1" applyAlignment="1">
      <alignment horizontal="right" vertical="center"/>
    </xf>
    <xf numFmtId="0" fontId="57" fillId="5" borderId="0" xfId="1" applyFont="1" applyFill="1" applyAlignment="1">
      <alignment vertical="center"/>
    </xf>
    <xf numFmtId="0" fontId="61" fillId="5" borderId="0" xfId="1" applyFont="1" applyFill="1" applyAlignment="1">
      <alignment vertical="center"/>
    </xf>
    <xf numFmtId="0" fontId="54" fillId="6" borderId="0" xfId="1" quotePrefix="1" applyFont="1" applyFill="1" applyAlignment="1">
      <alignment horizontal="left" vertical="center"/>
    </xf>
    <xf numFmtId="0" fontId="54" fillId="6" borderId="0" xfId="1" applyFont="1" applyFill="1" applyAlignment="1">
      <alignment horizontal="center" vertical="center"/>
    </xf>
    <xf numFmtId="0" fontId="53" fillId="6" borderId="0" xfId="1" applyFont="1" applyFill="1" applyAlignment="1">
      <alignment vertical="center"/>
    </xf>
    <xf numFmtId="0" fontId="59" fillId="6" borderId="0" xfId="1" applyFont="1" applyFill="1" applyAlignment="1">
      <alignment vertical="center"/>
    </xf>
    <xf numFmtId="0" fontId="57" fillId="6" borderId="0" xfId="1" applyFont="1" applyFill="1" applyAlignment="1">
      <alignment vertical="center"/>
    </xf>
    <xf numFmtId="0" fontId="61" fillId="6" borderId="0" xfId="1" applyFont="1" applyFill="1" applyAlignment="1">
      <alignment vertical="center"/>
    </xf>
    <xf numFmtId="0" fontId="53" fillId="6" borderId="0" xfId="1" applyFont="1" applyFill="1" applyAlignment="1">
      <alignment horizontal="center" vertical="center"/>
    </xf>
    <xf numFmtId="0" fontId="20" fillId="6" borderId="0" xfId="1" quotePrefix="1" applyFont="1" applyFill="1" applyAlignment="1">
      <alignment vertical="center"/>
    </xf>
    <xf numFmtId="0" fontId="20" fillId="5" borderId="0" xfId="1" quotePrefix="1" applyFont="1" applyFill="1" applyAlignment="1">
      <alignment vertical="center"/>
    </xf>
    <xf numFmtId="0" fontId="51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61" fillId="0" borderId="0" xfId="1" applyFont="1" applyAlignment="1">
      <alignment vertical="center"/>
    </xf>
    <xf numFmtId="0" fontId="62" fillId="0" borderId="0" xfId="1" applyFont="1" applyAlignment="1">
      <alignment vertical="center"/>
    </xf>
    <xf numFmtId="0" fontId="20" fillId="5" borderId="0" xfId="1" applyFont="1" applyFill="1" applyAlignment="1">
      <alignment vertical="center"/>
    </xf>
    <xf numFmtId="0" fontId="63" fillId="5" borderId="0" xfId="1" applyFont="1" applyFill="1" applyAlignment="1">
      <alignment horizontal="left" vertical="center" wrapText="1"/>
    </xf>
    <xf numFmtId="0" fontId="21" fillId="6" borderId="0" xfId="1" quotePrefix="1" applyFont="1" applyFill="1" applyAlignment="1">
      <alignment vertical="center"/>
    </xf>
    <xf numFmtId="0" fontId="53" fillId="6" borderId="0" xfId="1" quotePrefix="1" applyFont="1" applyFill="1" applyAlignment="1">
      <alignment horizontal="left" vertical="center"/>
    </xf>
    <xf numFmtId="0" fontId="21" fillId="5" borderId="0" xfId="1" quotePrefix="1" applyFont="1" applyFill="1" applyAlignment="1">
      <alignment vertical="center"/>
    </xf>
    <xf numFmtId="0" fontId="64" fillId="0" borderId="0" xfId="1" applyFont="1" applyAlignment="1">
      <alignment vertical="center"/>
    </xf>
    <xf numFmtId="0" fontId="55" fillId="7" borderId="0" xfId="1" applyFont="1" applyFill="1" applyAlignment="1">
      <alignment vertical="center"/>
    </xf>
    <xf numFmtId="0" fontId="56" fillId="7" borderId="0" xfId="1" applyFont="1" applyFill="1" applyAlignment="1">
      <alignment vertical="center"/>
    </xf>
    <xf numFmtId="0" fontId="65" fillId="7" borderId="0" xfId="1" applyFont="1" applyFill="1" applyAlignment="1">
      <alignment vertical="center"/>
    </xf>
    <xf numFmtId="0" fontId="65" fillId="0" borderId="0" xfId="1" applyFont="1" applyAlignment="1">
      <alignment vertical="center"/>
    </xf>
    <xf numFmtId="0" fontId="64" fillId="5" borderId="0" xfId="1" applyFont="1" applyFill="1" applyAlignment="1">
      <alignment vertical="center"/>
    </xf>
    <xf numFmtId="0" fontId="55" fillId="0" borderId="0" xfId="1" applyFont="1" applyAlignment="1">
      <alignment vertical="center"/>
    </xf>
    <xf numFmtId="0" fontId="56" fillId="0" borderId="0" xfId="1" applyFont="1" applyAlignment="1">
      <alignment vertical="center"/>
    </xf>
    <xf numFmtId="0" fontId="66" fillId="0" borderId="0" xfId="1" applyFont="1" applyAlignment="1">
      <alignment vertical="center"/>
    </xf>
    <xf numFmtId="0" fontId="54" fillId="5" borderId="0" xfId="1" applyFont="1" applyFill="1" applyAlignment="1">
      <alignment vertical="center"/>
    </xf>
    <xf numFmtId="0" fontId="67" fillId="5" borderId="0" xfId="1" applyFont="1" applyFill="1" applyAlignment="1">
      <alignment vertical="center"/>
    </xf>
    <xf numFmtId="0" fontId="68" fillId="5" borderId="0" xfId="1" applyFont="1" applyFill="1" applyAlignment="1">
      <alignment vertical="center"/>
    </xf>
    <xf numFmtId="0" fontId="69" fillId="5" borderId="0" xfId="1" applyFont="1" applyFill="1" applyAlignment="1">
      <alignment vertical="center"/>
    </xf>
    <xf numFmtId="0" fontId="56" fillId="5" borderId="0" xfId="1" applyFont="1" applyFill="1" applyAlignment="1">
      <alignment vertical="center"/>
    </xf>
    <xf numFmtId="0" fontId="65" fillId="5" borderId="0" xfId="1" applyFont="1" applyFill="1" applyAlignment="1">
      <alignment vertical="center"/>
    </xf>
    <xf numFmtId="0" fontId="66" fillId="5" borderId="0" xfId="1" applyFont="1" applyFill="1" applyAlignment="1">
      <alignment vertical="center"/>
    </xf>
    <xf numFmtId="0" fontId="70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0" fontId="22" fillId="5" borderId="0" xfId="1" applyFont="1" applyFill="1" applyAlignment="1">
      <alignment vertical="center"/>
    </xf>
    <xf numFmtId="0" fontId="71" fillId="5" borderId="0" xfId="1" applyFont="1" applyFill="1" applyAlignment="1">
      <alignment vertical="center"/>
    </xf>
    <xf numFmtId="0" fontId="72" fillId="5" borderId="0" xfId="1" applyFont="1" applyFill="1" applyAlignment="1">
      <alignment vertical="center"/>
    </xf>
    <xf numFmtId="0" fontId="73" fillId="5" borderId="0" xfId="1" applyFont="1" applyFill="1" applyAlignment="1">
      <alignment vertical="center"/>
    </xf>
    <xf numFmtId="0" fontId="74" fillId="5" borderId="0" xfId="1" applyFont="1" applyFill="1" applyAlignment="1">
      <alignment vertical="center"/>
    </xf>
    <xf numFmtId="0" fontId="75" fillId="5" borderId="0" xfId="1" applyFont="1" applyFill="1" applyAlignment="1">
      <alignment vertical="center"/>
    </xf>
    <xf numFmtId="0" fontId="76" fillId="5" borderId="0" xfId="1" applyFont="1" applyFill="1" applyAlignment="1">
      <alignment vertical="center"/>
    </xf>
    <xf numFmtId="0" fontId="77" fillId="5" borderId="22" xfId="1" applyFont="1" applyFill="1" applyBorder="1" applyAlignment="1">
      <alignment vertical="center"/>
    </xf>
    <xf numFmtId="0" fontId="71" fillId="5" borderId="22" xfId="1" applyFont="1" applyFill="1" applyBorder="1" applyAlignment="1">
      <alignment vertical="center"/>
    </xf>
    <xf numFmtId="0" fontId="72" fillId="5" borderId="22" xfId="1" applyFont="1" applyFill="1" applyBorder="1" applyAlignment="1">
      <alignment vertical="center"/>
    </xf>
    <xf numFmtId="0" fontId="73" fillId="5" borderId="22" xfId="1" applyFont="1" applyFill="1" applyBorder="1" applyAlignment="1">
      <alignment vertical="center"/>
    </xf>
    <xf numFmtId="0" fontId="77" fillId="5" borderId="23" xfId="1" quotePrefix="1" applyFont="1" applyFill="1" applyBorder="1" applyAlignment="1">
      <alignment vertical="center"/>
    </xf>
    <xf numFmtId="0" fontId="77" fillId="5" borderId="24" xfId="1" applyFont="1" applyFill="1" applyBorder="1" applyAlignment="1">
      <alignment vertical="center"/>
    </xf>
    <xf numFmtId="0" fontId="71" fillId="5" borderId="24" xfId="1" applyFont="1" applyFill="1" applyBorder="1" applyAlignment="1">
      <alignment vertical="center"/>
    </xf>
    <xf numFmtId="0" fontId="72" fillId="5" borderId="24" xfId="1" applyFont="1" applyFill="1" applyBorder="1" applyAlignment="1">
      <alignment vertical="center"/>
    </xf>
    <xf numFmtId="0" fontId="73" fillId="5" borderId="24" xfId="1" applyFont="1" applyFill="1" applyBorder="1" applyAlignment="1">
      <alignment vertical="center"/>
    </xf>
    <xf numFmtId="0" fontId="73" fillId="5" borderId="25" xfId="1" applyFont="1" applyFill="1" applyBorder="1" applyAlignment="1">
      <alignment vertical="center"/>
    </xf>
    <xf numFmtId="0" fontId="70" fillId="5" borderId="26" xfId="1" applyFont="1" applyFill="1" applyBorder="1" applyAlignment="1">
      <alignment vertical="center"/>
    </xf>
    <xf numFmtId="0" fontId="78" fillId="5" borderId="0" xfId="1" applyFont="1" applyFill="1" applyAlignment="1">
      <alignment vertical="center"/>
    </xf>
    <xf numFmtId="0" fontId="79" fillId="5" borderId="0" xfId="1" applyFont="1" applyFill="1" applyAlignment="1">
      <alignment vertical="center"/>
    </xf>
    <xf numFmtId="0" fontId="77" fillId="5" borderId="27" xfId="1" quotePrefix="1" applyFont="1" applyFill="1" applyBorder="1" applyAlignment="1">
      <alignment vertical="center"/>
    </xf>
    <xf numFmtId="0" fontId="71" fillId="5" borderId="22" xfId="1" quotePrefix="1" applyFont="1" applyFill="1" applyBorder="1" applyAlignment="1">
      <alignment vertical="center"/>
    </xf>
    <xf numFmtId="0" fontId="73" fillId="5" borderId="28" xfId="1" applyFont="1" applyFill="1" applyBorder="1" applyAlignment="1">
      <alignment vertical="center"/>
    </xf>
    <xf numFmtId="0" fontId="80" fillId="5" borderId="0" xfId="1" applyFont="1" applyFill="1" applyAlignment="1">
      <alignment vertical="center"/>
    </xf>
    <xf numFmtId="0" fontId="80" fillId="0" borderId="0" xfId="1" applyFont="1" applyAlignment="1">
      <alignment vertical="center"/>
    </xf>
    <xf numFmtId="0" fontId="81" fillId="5" borderId="0" xfId="1" applyFont="1" applyFill="1" applyAlignment="1">
      <alignment vertical="center"/>
    </xf>
    <xf numFmtId="0" fontId="82" fillId="5" borderId="0" xfId="1" applyFont="1" applyFill="1" applyAlignment="1">
      <alignment vertical="center"/>
    </xf>
    <xf numFmtId="0" fontId="83" fillId="5" borderId="0" xfId="1" applyFont="1" applyFill="1" applyAlignment="1">
      <alignment vertical="center"/>
    </xf>
    <xf numFmtId="0" fontId="80" fillId="5" borderId="0" xfId="1" quotePrefix="1" applyFont="1" applyFill="1" applyAlignment="1">
      <alignment vertical="center"/>
    </xf>
    <xf numFmtId="0" fontId="84" fillId="5" borderId="22" xfId="1" applyFont="1" applyFill="1" applyBorder="1" applyAlignment="1">
      <alignment vertical="center"/>
    </xf>
    <xf numFmtId="0" fontId="84" fillId="5" borderId="22" xfId="1" quotePrefix="1" applyFont="1" applyFill="1" applyBorder="1" applyAlignment="1">
      <alignment vertical="center"/>
    </xf>
    <xf numFmtId="0" fontId="85" fillId="5" borderId="22" xfId="1" applyFont="1" applyFill="1" applyBorder="1" applyAlignment="1">
      <alignment vertical="center"/>
    </xf>
    <xf numFmtId="0" fontId="86" fillId="5" borderId="22" xfId="1" applyFont="1" applyFill="1" applyBorder="1" applyAlignment="1">
      <alignment vertical="center"/>
    </xf>
    <xf numFmtId="0" fontId="87" fillId="5" borderId="22" xfId="1" applyFont="1" applyFill="1" applyBorder="1" applyAlignment="1">
      <alignment vertical="center"/>
    </xf>
    <xf numFmtId="0" fontId="76" fillId="0" borderId="0" xfId="1" applyFont="1" applyAlignment="1">
      <alignment vertical="center"/>
    </xf>
    <xf numFmtId="0" fontId="77" fillId="0" borderId="24" xfId="1" applyFont="1" applyBorder="1" applyAlignment="1">
      <alignment vertical="center"/>
    </xf>
    <xf numFmtId="0" fontId="79" fillId="0" borderId="0" xfId="1" applyFont="1" applyAlignment="1">
      <alignment vertical="center"/>
    </xf>
    <xf numFmtId="0" fontId="77" fillId="0" borderId="22" xfId="1" applyFont="1" applyBorder="1" applyAlignment="1">
      <alignment vertical="center"/>
    </xf>
    <xf numFmtId="0" fontId="70" fillId="0" borderId="0" xfId="1" applyFont="1" applyAlignment="1">
      <alignment vertical="center"/>
    </xf>
    <xf numFmtId="0" fontId="69" fillId="0" borderId="0" xfId="1" applyFont="1" applyAlignment="1">
      <alignment vertical="center"/>
    </xf>
    <xf numFmtId="0" fontId="54" fillId="0" borderId="0" xfId="1" applyFont="1" applyAlignment="1">
      <alignment horizontal="center" vertical="center"/>
    </xf>
    <xf numFmtId="0" fontId="54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88" fillId="0" borderId="0" xfId="1" applyFont="1" applyAlignment="1">
      <alignment vertical="center"/>
    </xf>
    <xf numFmtId="0" fontId="89" fillId="0" borderId="0" xfId="1" applyFont="1" applyAlignment="1">
      <alignment vertical="center"/>
    </xf>
    <xf numFmtId="2" fontId="51" fillId="5" borderId="0" xfId="1" applyNumberFormat="1" applyFont="1" applyFill="1" applyAlignment="1">
      <alignment vertical="center"/>
    </xf>
    <xf numFmtId="0" fontId="90" fillId="5" borderId="0" xfId="1" applyFont="1" applyFill="1"/>
    <xf numFmtId="0" fontId="91" fillId="5" borderId="0" xfId="1" applyFont="1" applyFill="1" applyAlignment="1">
      <alignment vertical="center"/>
    </xf>
    <xf numFmtId="0" fontId="91" fillId="5" borderId="0" xfId="1" applyFont="1" applyFill="1" applyAlignment="1">
      <alignment horizontal="center" vertical="center" wrapText="1"/>
    </xf>
    <xf numFmtId="0" fontId="91" fillId="5" borderId="0" xfId="1" applyFont="1" applyFill="1" applyAlignment="1" applyProtection="1">
      <alignment horizontal="center" vertical="center" wrapText="1"/>
      <protection locked="0"/>
    </xf>
    <xf numFmtId="0" fontId="53" fillId="0" borderId="29" xfId="1" applyFont="1" applyBorder="1" applyAlignment="1">
      <alignment vertical="center"/>
    </xf>
    <xf numFmtId="3" fontId="91" fillId="5" borderId="0" xfId="1" applyNumberFormat="1" applyFont="1" applyFill="1" applyAlignment="1">
      <alignment vertical="center"/>
    </xf>
    <xf numFmtId="0" fontId="53" fillId="0" borderId="30" xfId="1" applyFont="1" applyBorder="1" applyAlignment="1">
      <alignment vertical="center"/>
    </xf>
    <xf numFmtId="0" fontId="91" fillId="5" borderId="0" xfId="1" quotePrefix="1" applyFont="1" applyFill="1" applyAlignment="1">
      <alignment vertical="center"/>
    </xf>
    <xf numFmtId="0" fontId="53" fillId="0" borderId="31" xfId="1" applyFont="1" applyBorder="1" applyAlignment="1">
      <alignment horizontal="left" vertical="center"/>
    </xf>
    <xf numFmtId="3" fontId="91" fillId="5" borderId="0" xfId="1" applyNumberFormat="1" applyFont="1" applyFill="1" applyAlignment="1" applyProtection="1">
      <alignment vertical="center"/>
      <protection locked="0"/>
    </xf>
    <xf numFmtId="0" fontId="53" fillId="0" borderId="19" xfId="1" applyFont="1" applyBorder="1" applyAlignment="1">
      <alignment vertical="center"/>
    </xf>
    <xf numFmtId="0" fontId="54" fillId="0" borderId="20" xfId="1" quotePrefix="1" applyFont="1" applyBorder="1" applyAlignment="1">
      <alignment horizontal="left" vertical="center" wrapText="1"/>
    </xf>
    <xf numFmtId="0" fontId="54" fillId="0" borderId="21" xfId="1" quotePrefix="1" applyFont="1" applyBorder="1" applyAlignment="1">
      <alignment horizontal="left" vertical="center" wrapText="1"/>
    </xf>
    <xf numFmtId="0" fontId="54" fillId="0" borderId="19" xfId="1" applyFont="1" applyBorder="1" applyAlignment="1">
      <alignment vertical="center"/>
    </xf>
    <xf numFmtId="0" fontId="54" fillId="0" borderId="20" xfId="1" applyFont="1" applyBorder="1" applyAlignment="1">
      <alignment vertical="center" wrapText="1"/>
    </xf>
    <xf numFmtId="0" fontId="54" fillId="0" borderId="21" xfId="1" applyFont="1" applyBorder="1" applyAlignment="1">
      <alignment vertical="center" wrapText="1"/>
    </xf>
    <xf numFmtId="0" fontId="92" fillId="0" borderId="0" xfId="0" applyFont="1" applyAlignment="1">
      <alignment vertical="center"/>
    </xf>
    <xf numFmtId="0" fontId="89" fillId="0" borderId="0" xfId="1" applyFont="1" applyAlignment="1">
      <alignment vertical="center" wrapText="1"/>
    </xf>
    <xf numFmtId="4" fontId="91" fillId="5" borderId="0" xfId="1" applyNumberFormat="1" applyFont="1" applyFill="1" applyAlignment="1">
      <alignment vertical="center"/>
    </xf>
    <xf numFmtId="0" fontId="93" fillId="0" borderId="19" xfId="1" applyFont="1" applyBorder="1" applyAlignment="1">
      <alignment vertical="center"/>
    </xf>
    <xf numFmtId="0" fontId="89" fillId="0" borderId="0" xfId="1" applyFont="1" applyAlignment="1">
      <alignment horizontal="center" vertical="center" wrapText="1"/>
    </xf>
    <xf numFmtId="0" fontId="93" fillId="0" borderId="32" xfId="1" applyFont="1" applyBorder="1" applyAlignment="1">
      <alignment vertical="center"/>
    </xf>
    <xf numFmtId="2" fontId="61" fillId="0" borderId="0" xfId="1" applyNumberFormat="1" applyFont="1" applyAlignment="1">
      <alignment vertical="center"/>
    </xf>
    <xf numFmtId="0" fontId="94" fillId="5" borderId="0" xfId="1" quotePrefix="1" applyFont="1" applyFill="1" applyAlignment="1">
      <alignment vertical="center"/>
    </xf>
    <xf numFmtId="4" fontId="94" fillId="5" borderId="0" xfId="1" applyNumberFormat="1" applyFont="1" applyFill="1" applyAlignment="1">
      <alignment vertical="center"/>
    </xf>
    <xf numFmtId="0" fontId="54" fillId="0" borderId="0" xfId="1" quotePrefix="1" applyFont="1" applyAlignment="1">
      <alignment vertical="center" wrapText="1"/>
    </xf>
    <xf numFmtId="2" fontId="54" fillId="0" borderId="0" xfId="1" applyNumberFormat="1" applyFont="1" applyAlignment="1">
      <alignment vertical="center"/>
    </xf>
    <xf numFmtId="2" fontId="69" fillId="5" borderId="0" xfId="1" applyNumberFormat="1" applyFont="1" applyFill="1" applyAlignment="1">
      <alignment vertical="center"/>
    </xf>
    <xf numFmtId="2" fontId="53" fillId="0" borderId="0" xfId="1" applyNumberFormat="1" applyFont="1" applyAlignment="1">
      <alignment vertical="center"/>
    </xf>
    <xf numFmtId="2" fontId="53" fillId="0" borderId="0" xfId="1" applyNumberFormat="1" applyFont="1" applyAlignment="1" applyProtection="1">
      <alignment vertical="center"/>
      <protection locked="0"/>
    </xf>
    <xf numFmtId="0" fontId="68" fillId="0" borderId="0" xfId="1" applyFont="1" applyAlignment="1">
      <alignment vertical="center"/>
    </xf>
    <xf numFmtId="2" fontId="69" fillId="0" borderId="0" xfId="1" applyNumberFormat="1" applyFont="1" applyAlignment="1">
      <alignment vertical="center"/>
    </xf>
    <xf numFmtId="10" fontId="94" fillId="5" borderId="0" xfId="3" applyNumberFormat="1" applyFont="1" applyFill="1" applyAlignment="1">
      <alignment vertical="center"/>
    </xf>
    <xf numFmtId="0" fontId="95" fillId="0" borderId="0" xfId="1" applyFont="1" applyAlignment="1">
      <alignment horizontal="left" vertical="center"/>
    </xf>
    <xf numFmtId="0" fontId="70" fillId="0" borderId="0" xfId="1" applyFont="1" applyAlignment="1">
      <alignment horizontal="left" vertical="center"/>
    </xf>
    <xf numFmtId="0" fontId="95" fillId="0" borderId="0" xfId="1" applyFont="1"/>
    <xf numFmtId="0" fontId="96" fillId="0" borderId="0" xfId="1" applyFont="1" applyAlignment="1">
      <alignment vertical="center"/>
    </xf>
    <xf numFmtId="0" fontId="54" fillId="0" borderId="0" xfId="1" applyFont="1" applyAlignment="1">
      <alignment horizontal="left" vertical="center"/>
    </xf>
    <xf numFmtId="0" fontId="52" fillId="0" borderId="0" xfId="1" applyFont="1" applyAlignment="1">
      <alignment horizontal="right"/>
    </xf>
    <xf numFmtId="0" fontId="97" fillId="0" borderId="0" xfId="1" applyFont="1" applyAlignment="1">
      <alignment horizontal="right"/>
    </xf>
    <xf numFmtId="0" fontId="52" fillId="0" borderId="5" xfId="1" applyFont="1" applyBorder="1" applyAlignment="1">
      <alignment horizontal="center" vertical="center"/>
    </xf>
    <xf numFmtId="0" fontId="52" fillId="8" borderId="5" xfId="1" applyFont="1" applyFill="1" applyBorder="1" applyAlignment="1" applyProtection="1">
      <alignment horizontal="center" vertical="center"/>
      <protection locked="0"/>
    </xf>
    <xf numFmtId="2" fontId="52" fillId="0" borderId="5" xfId="1" applyNumberFormat="1" applyFont="1" applyBorder="1" applyAlignment="1">
      <alignment horizontal="center" vertical="center"/>
    </xf>
    <xf numFmtId="0" fontId="93" fillId="0" borderId="0" xfId="1" applyFont="1" applyAlignment="1">
      <alignment vertical="center"/>
    </xf>
    <xf numFmtId="0" fontId="54" fillId="5" borderId="0" xfId="1" applyFont="1" applyFill="1" applyAlignment="1">
      <alignment horizontal="left" vertical="center"/>
    </xf>
    <xf numFmtId="0" fontId="67" fillId="5" borderId="0" xfId="1" applyFont="1" applyFill="1" applyAlignment="1">
      <alignment horizontal="left" vertical="center"/>
    </xf>
    <xf numFmtId="0" fontId="10" fillId="0" borderId="0" xfId="0" applyFont="1" applyProtection="1"/>
    <xf numFmtId="0" fontId="7" fillId="0" borderId="0" xfId="0" applyFont="1" applyProtection="1"/>
    <xf numFmtId="0" fontId="3" fillId="0" borderId="0" xfId="0" applyFont="1" applyProtection="1"/>
    <xf numFmtId="0" fontId="13" fillId="0" borderId="0" xfId="0" applyFont="1" applyAlignment="1" applyProtection="1">
      <alignment horizontal="right"/>
    </xf>
    <xf numFmtId="0" fontId="2" fillId="0" borderId="0" xfId="0" applyFont="1" applyProtection="1"/>
    <xf numFmtId="0" fontId="6" fillId="0" borderId="0" xfId="0" applyFont="1" applyProtection="1"/>
    <xf numFmtId="0" fontId="13" fillId="0" borderId="0" xfId="0" applyFont="1" applyProtection="1"/>
    <xf numFmtId="0" fontId="4" fillId="0" borderId="0" xfId="1" applyFont="1" applyProtection="1"/>
    <xf numFmtId="0" fontId="6" fillId="0" borderId="0" xfId="1" applyFont="1" applyProtection="1"/>
    <xf numFmtId="0" fontId="2" fillId="0" borderId="0" xfId="1" applyFont="1" applyProtection="1"/>
    <xf numFmtId="0" fontId="2" fillId="5" borderId="0" xfId="1" applyFont="1" applyFill="1" applyProtection="1"/>
    <xf numFmtId="0" fontId="16" fillId="5" borderId="0" xfId="1" applyFont="1" applyFill="1" applyProtection="1"/>
    <xf numFmtId="0" fontId="18" fillId="0" borderId="0" xfId="1" applyFont="1" applyProtection="1"/>
    <xf numFmtId="0" fontId="4" fillId="0" borderId="33" xfId="1" applyFont="1" applyBorder="1" applyAlignment="1" applyProtection="1">
      <alignment horizontal="center"/>
    </xf>
    <xf numFmtId="0" fontId="4" fillId="0" borderId="11" xfId="1" applyFont="1" applyBorder="1" applyProtection="1"/>
    <xf numFmtId="0" fontId="4" fillId="0" borderId="34" xfId="1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/>
    </xf>
    <xf numFmtId="2" fontId="4" fillId="0" borderId="11" xfId="1" applyNumberFormat="1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/>
    </xf>
    <xf numFmtId="2" fontId="13" fillId="0" borderId="0" xfId="1" applyNumberFormat="1" applyFont="1" applyProtection="1"/>
    <xf numFmtId="0" fontId="20" fillId="0" borderId="0" xfId="0" applyFont="1" applyProtection="1"/>
    <xf numFmtId="0" fontId="4" fillId="0" borderId="28" xfId="1" applyFont="1" applyBorder="1" applyAlignment="1" applyProtection="1">
      <alignment horizontal="center"/>
    </xf>
    <xf numFmtId="0" fontId="4" fillId="0" borderId="35" xfId="1" applyFont="1" applyBorder="1" applyProtection="1"/>
    <xf numFmtId="0" fontId="4" fillId="0" borderId="36" xfId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2" fontId="4" fillId="0" borderId="35" xfId="1" applyNumberFormat="1" applyFont="1" applyBorder="1" applyAlignment="1" applyProtection="1">
      <alignment horizontal="center"/>
    </xf>
    <xf numFmtId="0" fontId="52" fillId="0" borderId="5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/>
    </xf>
    <xf numFmtId="0" fontId="4" fillId="0" borderId="5" xfId="1" applyFont="1" applyBorder="1" applyProtection="1"/>
    <xf numFmtId="0" fontId="4" fillId="0" borderId="38" xfId="1" applyFont="1" applyBorder="1" applyAlignment="1" applyProtection="1">
      <alignment horizontal="center"/>
    </xf>
    <xf numFmtId="2" fontId="4" fillId="0" borderId="5" xfId="1" applyNumberFormat="1" applyFont="1" applyBorder="1" applyAlignment="1" applyProtection="1">
      <alignment horizontal="center"/>
    </xf>
    <xf numFmtId="0" fontId="52" fillId="8" borderId="5" xfId="1" applyFont="1" applyFill="1" applyBorder="1" applyAlignment="1" applyProtection="1">
      <alignment horizontal="center" vertical="center"/>
    </xf>
    <xf numFmtId="2" fontId="52" fillId="0" borderId="5" xfId="1" applyNumberFormat="1" applyFont="1" applyBorder="1" applyAlignment="1" applyProtection="1">
      <alignment horizontal="center" vertical="center"/>
    </xf>
    <xf numFmtId="0" fontId="4" fillId="0" borderId="39" xfId="1" applyFont="1" applyBorder="1" applyAlignment="1" applyProtection="1">
      <alignment horizontal="center"/>
    </xf>
    <xf numFmtId="0" fontId="4" fillId="0" borderId="7" xfId="1" applyFont="1" applyBorder="1" applyProtection="1"/>
    <xf numFmtId="0" fontId="4" fillId="0" borderId="40" xfId="1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2" fontId="4" fillId="0" borderId="7" xfId="1" applyNumberFormat="1" applyFont="1" applyBorder="1" applyAlignment="1" applyProtection="1">
      <alignment horizontal="center"/>
    </xf>
    <xf numFmtId="0" fontId="13" fillId="0" borderId="0" xfId="1" applyFont="1" applyProtection="1"/>
    <xf numFmtId="0" fontId="4" fillId="0" borderId="0" xfId="1" applyFont="1" applyAlignment="1" applyProtection="1">
      <alignment horizontal="center"/>
    </xf>
    <xf numFmtId="2" fontId="7" fillId="0" borderId="0" xfId="1" applyNumberFormat="1" applyFont="1" applyAlignment="1" applyProtection="1">
      <alignment horizontal="center"/>
    </xf>
    <xf numFmtId="2" fontId="3" fillId="0" borderId="0" xfId="1" applyNumberFormat="1" applyFont="1" applyBorder="1" applyProtection="1"/>
    <xf numFmtId="2" fontId="7" fillId="0" borderId="0" xfId="1" applyNumberFormat="1" applyFont="1" applyProtection="1"/>
    <xf numFmtId="0" fontId="3" fillId="0" borderId="41" xfId="1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12" fillId="0" borderId="42" xfId="1" applyFont="1" applyBorder="1" applyAlignment="1" applyProtection="1">
      <alignment horizontal="center" vertical="center"/>
    </xf>
    <xf numFmtId="0" fontId="5" fillId="9" borderId="43" xfId="1" applyFont="1" applyFill="1" applyBorder="1" applyAlignment="1" applyProtection="1">
      <alignment horizontal="center" vertical="center"/>
    </xf>
    <xf numFmtId="4" fontId="30" fillId="0" borderId="44" xfId="1" applyNumberFormat="1" applyFont="1" applyFill="1" applyBorder="1" applyAlignment="1" applyProtection="1">
      <alignment horizontal="right" vertical="center"/>
    </xf>
    <xf numFmtId="0" fontId="12" fillId="0" borderId="44" xfId="1" applyFont="1" applyBorder="1" applyAlignment="1" applyProtection="1">
      <alignment horizontal="center" vertical="center"/>
    </xf>
    <xf numFmtId="0" fontId="5" fillId="10" borderId="43" xfId="1" applyFont="1" applyFill="1" applyBorder="1" applyAlignment="1" applyProtection="1">
      <alignment horizontal="center" vertical="center"/>
    </xf>
    <xf numFmtId="4" fontId="12" fillId="11" borderId="43" xfId="1" applyNumberFormat="1" applyFont="1" applyFill="1" applyBorder="1" applyAlignment="1" applyProtection="1">
      <alignment horizontal="left" vertical="center"/>
    </xf>
    <xf numFmtId="4" fontId="30" fillId="9" borderId="44" xfId="1" applyNumberFormat="1" applyFont="1" applyFill="1" applyBorder="1" applyAlignment="1" applyProtection="1">
      <alignment horizontal="right" vertical="center"/>
    </xf>
    <xf numFmtId="0" fontId="5" fillId="4" borderId="43" xfId="1" applyFont="1" applyFill="1" applyBorder="1" applyAlignment="1" applyProtection="1">
      <alignment horizontal="center" vertical="center"/>
    </xf>
    <xf numFmtId="0" fontId="12" fillId="0" borderId="45" xfId="1" applyFont="1" applyBorder="1" applyAlignment="1" applyProtection="1">
      <alignment horizontal="center" vertical="center"/>
    </xf>
    <xf numFmtId="0" fontId="2" fillId="0" borderId="44" xfId="0" applyFont="1" applyBorder="1" applyProtection="1"/>
    <xf numFmtId="0" fontId="5" fillId="12" borderId="43" xfId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2" fillId="0" borderId="46" xfId="1" applyFont="1" applyBorder="1" applyAlignment="1" applyProtection="1">
      <alignment horizontal="center" vertical="center"/>
    </xf>
    <xf numFmtId="0" fontId="5" fillId="9" borderId="47" xfId="1" applyFont="1" applyFill="1" applyBorder="1" applyAlignment="1" applyProtection="1">
      <alignment horizontal="center" vertical="center"/>
    </xf>
    <xf numFmtId="4" fontId="30" fillId="0" borderId="45" xfId="1" applyNumberFormat="1" applyFont="1" applyFill="1" applyBorder="1" applyAlignment="1" applyProtection="1">
      <alignment horizontal="right" vertical="center"/>
    </xf>
    <xf numFmtId="0" fontId="5" fillId="12" borderId="47" xfId="1" applyFont="1" applyFill="1" applyBorder="1" applyAlignment="1" applyProtection="1">
      <alignment horizontal="center" vertical="center"/>
    </xf>
    <xf numFmtId="0" fontId="5" fillId="4" borderId="47" xfId="1" applyFont="1" applyFill="1" applyBorder="1" applyAlignment="1" applyProtection="1">
      <alignment horizontal="center" vertical="center"/>
    </xf>
    <xf numFmtId="0" fontId="2" fillId="0" borderId="45" xfId="0" applyFont="1" applyBorder="1" applyProtection="1"/>
    <xf numFmtId="0" fontId="2" fillId="0" borderId="48" xfId="0" applyFont="1" applyBorder="1" applyProtection="1"/>
    <xf numFmtId="4" fontId="30" fillId="9" borderId="49" xfId="1" applyNumberFormat="1" applyFont="1" applyFill="1" applyBorder="1" applyAlignment="1" applyProtection="1">
      <alignment horizontal="right" vertical="center"/>
    </xf>
    <xf numFmtId="4" fontId="12" fillId="0" borderId="48" xfId="1" applyNumberFormat="1" applyFont="1" applyBorder="1" applyAlignment="1" applyProtection="1">
      <alignment horizontal="center" vertical="center"/>
    </xf>
    <xf numFmtId="0" fontId="2" fillId="0" borderId="47" xfId="0" applyFont="1" applyBorder="1" applyProtection="1"/>
    <xf numFmtId="4" fontId="30" fillId="9" borderId="45" xfId="1" applyNumberFormat="1" applyFont="1" applyFill="1" applyBorder="1" applyAlignment="1" applyProtection="1">
      <alignment horizontal="right" vertical="center"/>
    </xf>
    <xf numFmtId="0" fontId="5" fillId="11" borderId="47" xfId="1" applyFont="1" applyFill="1" applyBorder="1" applyAlignment="1" applyProtection="1">
      <alignment horizontal="center" vertical="center"/>
    </xf>
    <xf numFmtId="4" fontId="12" fillId="11" borderId="47" xfId="1" applyNumberFormat="1" applyFont="1" applyFill="1" applyBorder="1" applyAlignment="1" applyProtection="1">
      <alignment horizontal="left" vertical="center"/>
    </xf>
    <xf numFmtId="0" fontId="5" fillId="13" borderId="47" xfId="1" applyFont="1" applyFill="1" applyBorder="1" applyAlignment="1" applyProtection="1">
      <alignment horizontal="center" vertical="center"/>
    </xf>
    <xf numFmtId="4" fontId="12" fillId="10" borderId="48" xfId="1" applyNumberFormat="1" applyFont="1" applyFill="1" applyBorder="1" applyAlignment="1" applyProtection="1">
      <alignment horizontal="left" vertical="center"/>
    </xf>
    <xf numFmtId="0" fontId="30" fillId="0" borderId="45" xfId="0" applyFont="1" applyFill="1" applyBorder="1" applyAlignment="1" applyProtection="1">
      <alignment horizontal="right"/>
    </xf>
    <xf numFmtId="0" fontId="12" fillId="14" borderId="47" xfId="1" applyFont="1" applyFill="1" applyBorder="1" applyAlignment="1" applyProtection="1">
      <alignment horizontal="center" vertical="center"/>
    </xf>
    <xf numFmtId="4" fontId="30" fillId="0" borderId="45" xfId="1" applyNumberFormat="1" applyFont="1" applyBorder="1" applyAlignment="1" applyProtection="1">
      <alignment horizontal="right" vertical="center"/>
    </xf>
    <xf numFmtId="0" fontId="12" fillId="0" borderId="41" xfId="1" applyFont="1" applyBorder="1" applyAlignment="1" applyProtection="1">
      <alignment horizontal="center" vertical="center"/>
    </xf>
    <xf numFmtId="0" fontId="5" fillId="9" borderId="48" xfId="1" applyFont="1" applyFill="1" applyBorder="1" applyAlignment="1" applyProtection="1">
      <alignment horizontal="center" vertical="center"/>
    </xf>
    <xf numFmtId="0" fontId="12" fillId="0" borderId="49" xfId="1" applyFont="1" applyBorder="1" applyAlignment="1" applyProtection="1">
      <alignment horizontal="center" vertical="center"/>
    </xf>
    <xf numFmtId="0" fontId="5" fillId="12" borderId="48" xfId="1" applyFont="1" applyFill="1" applyBorder="1" applyAlignment="1" applyProtection="1">
      <alignment horizontal="center" vertical="center"/>
    </xf>
    <xf numFmtId="4" fontId="30" fillId="0" borderId="49" xfId="1" applyNumberFormat="1" applyFont="1" applyBorder="1" applyAlignment="1" applyProtection="1">
      <alignment horizontal="right" vertical="center"/>
    </xf>
    <xf numFmtId="0" fontId="12" fillId="14" borderId="48" xfId="1" applyFont="1" applyFill="1" applyBorder="1" applyAlignment="1" applyProtection="1">
      <alignment horizontal="center" vertical="center"/>
    </xf>
    <xf numFmtId="0" fontId="5" fillId="4" borderId="48" xfId="1" applyFont="1" applyFill="1" applyBorder="1" applyAlignment="1" applyProtection="1">
      <alignment horizontal="center" vertical="center"/>
    </xf>
    <xf numFmtId="0" fontId="1" fillId="0" borderId="49" xfId="1" applyFont="1" applyBorder="1" applyAlignment="1" applyProtection="1">
      <alignment horizontal="center" vertical="center"/>
    </xf>
    <xf numFmtId="0" fontId="12" fillId="0" borderId="48" xfId="1" applyFont="1" applyBorder="1" applyAlignment="1" applyProtection="1">
      <alignment horizontal="center" vertical="center"/>
    </xf>
    <xf numFmtId="0" fontId="13" fillId="0" borderId="48" xfId="1" applyFont="1" applyBorder="1" applyAlignment="1" applyProtection="1">
      <alignment horizontal="center" vertical="center"/>
    </xf>
    <xf numFmtId="0" fontId="13" fillId="0" borderId="49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4" fillId="0" borderId="0" xfId="0" applyFont="1" applyProtection="1"/>
    <xf numFmtId="0" fontId="13" fillId="15" borderId="19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15" borderId="0" xfId="0" applyFont="1" applyFill="1" applyProtection="1"/>
    <xf numFmtId="0" fontId="2" fillId="15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16" borderId="0" xfId="0" applyFont="1" applyFill="1" applyProtection="1"/>
    <xf numFmtId="0" fontId="2" fillId="16" borderId="9" xfId="0" applyFont="1" applyFill="1" applyBorder="1" applyAlignment="1" applyProtection="1">
      <alignment horizontal="center"/>
    </xf>
    <xf numFmtId="0" fontId="2" fillId="12" borderId="0" xfId="0" applyFont="1" applyFill="1" applyProtection="1"/>
    <xf numFmtId="0" fontId="2" fillId="0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45" xfId="0" applyFont="1" applyBorder="1" applyAlignment="1" applyProtection="1">
      <alignment horizontal="centerContinuous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13" fillId="0" borderId="45" xfId="0" applyFont="1" applyBorder="1" applyAlignment="1" applyProtection="1">
      <alignment horizontal="center"/>
    </xf>
    <xf numFmtId="2" fontId="3" fillId="14" borderId="19" xfId="0" applyNumberFormat="1" applyFont="1" applyFill="1" applyBorder="1" applyAlignment="1" applyProtection="1">
      <alignment horizontal="centerContinuous"/>
    </xf>
    <xf numFmtId="2" fontId="3" fillId="14" borderId="20" xfId="0" applyNumberFormat="1" applyFont="1" applyFill="1" applyBorder="1" applyAlignment="1" applyProtection="1">
      <alignment horizontal="centerContinuous"/>
    </xf>
    <xf numFmtId="0" fontId="3" fillId="14" borderId="21" xfId="0" applyFont="1" applyFill="1" applyBorder="1" applyAlignment="1" applyProtection="1">
      <alignment horizontal="centerContinuous"/>
    </xf>
    <xf numFmtId="2" fontId="3" fillId="0" borderId="32" xfId="0" applyNumberFormat="1" applyFont="1" applyBorder="1" applyAlignment="1" applyProtection="1">
      <alignment horizontal="centerContinuous"/>
    </xf>
    <xf numFmtId="0" fontId="2" fillId="14" borderId="19" xfId="0" applyFont="1" applyFill="1" applyBorder="1" applyProtection="1"/>
    <xf numFmtId="0" fontId="2" fillId="14" borderId="20" xfId="0" applyFont="1" applyFill="1" applyBorder="1" applyProtection="1"/>
    <xf numFmtId="2" fontId="13" fillId="14" borderId="20" xfId="0" applyNumberFormat="1" applyFont="1" applyFill="1" applyBorder="1" applyAlignment="1" applyProtection="1">
      <alignment horizontal="center"/>
    </xf>
    <xf numFmtId="0" fontId="3" fillId="14" borderId="20" xfId="0" applyFont="1" applyFill="1" applyBorder="1" applyProtection="1"/>
    <xf numFmtId="0" fontId="3" fillId="14" borderId="21" xfId="0" applyFont="1" applyFill="1" applyBorder="1" applyProtection="1"/>
    <xf numFmtId="0" fontId="2" fillId="0" borderId="50" xfId="0" applyFont="1" applyBorder="1" applyProtection="1"/>
    <xf numFmtId="0" fontId="2" fillId="0" borderId="50" xfId="1" applyFont="1" applyBorder="1" applyProtection="1"/>
    <xf numFmtId="0" fontId="4" fillId="0" borderId="50" xfId="1" applyFont="1" applyBorder="1" applyProtection="1"/>
    <xf numFmtId="0" fontId="2" fillId="0" borderId="49" xfId="0" applyFont="1" applyBorder="1" applyProtection="1"/>
    <xf numFmtId="0" fontId="53" fillId="17" borderId="9" xfId="1" applyFont="1" applyFill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/>
    </xf>
    <xf numFmtId="0" fontId="4" fillId="0" borderId="22" xfId="1" applyFont="1" applyBorder="1" applyAlignment="1" applyProtection="1">
      <alignment horizontal="center"/>
    </xf>
    <xf numFmtId="0" fontId="4" fillId="0" borderId="52" xfId="1" applyFont="1" applyBorder="1" applyAlignment="1" applyProtection="1">
      <alignment horizontal="center" vertical="center"/>
    </xf>
    <xf numFmtId="0" fontId="4" fillId="0" borderId="53" xfId="1" applyFont="1" applyBorder="1" applyAlignment="1" applyProtection="1">
      <alignment horizontal="center" vertical="center"/>
    </xf>
    <xf numFmtId="0" fontId="4" fillId="0" borderId="54" xfId="1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2" fillId="18" borderId="0" xfId="0" applyFont="1" applyFill="1" applyProtection="1"/>
    <xf numFmtId="0" fontId="2" fillId="18" borderId="9" xfId="0" applyFont="1" applyFill="1" applyBorder="1" applyAlignment="1" applyProtection="1">
      <alignment horizontal="center"/>
    </xf>
    <xf numFmtId="0" fontId="17" fillId="0" borderId="0" xfId="1" applyFont="1" applyFill="1" applyBorder="1" applyProtection="1"/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vertical="center" textRotation="255"/>
    </xf>
    <xf numFmtId="2" fontId="3" fillId="0" borderId="0" xfId="0" applyNumberFormat="1" applyFont="1" applyBorder="1" applyAlignment="1" applyProtection="1">
      <alignment horizontal="center"/>
    </xf>
    <xf numFmtId="0" fontId="2" fillId="18" borderId="50" xfId="0" applyFont="1" applyFill="1" applyBorder="1" applyProtection="1"/>
    <xf numFmtId="0" fontId="17" fillId="16" borderId="32" xfId="1" applyFont="1" applyFill="1" applyBorder="1" applyProtection="1"/>
    <xf numFmtId="3" fontId="4" fillId="16" borderId="44" xfId="0" applyNumberFormat="1" applyFont="1" applyFill="1" applyBorder="1" applyAlignment="1" applyProtection="1">
      <alignment horizontal="center" vertical="center"/>
    </xf>
    <xf numFmtId="0" fontId="17" fillId="16" borderId="15" xfId="0" applyFont="1" applyFill="1" applyBorder="1" applyProtection="1"/>
    <xf numFmtId="3" fontId="4" fillId="16" borderId="30" xfId="0" applyNumberFormat="1" applyFont="1" applyFill="1" applyBorder="1" applyAlignment="1" applyProtection="1">
      <alignment horizontal="center" vertical="center"/>
    </xf>
    <xf numFmtId="0" fontId="17" fillId="16" borderId="15" xfId="0" applyFont="1" applyFill="1" applyBorder="1" applyAlignment="1" applyProtection="1"/>
    <xf numFmtId="0" fontId="4" fillId="16" borderId="15" xfId="0" applyFont="1" applyFill="1" applyBorder="1" applyProtection="1"/>
    <xf numFmtId="0" fontId="4" fillId="16" borderId="50" xfId="0" applyFont="1" applyFill="1" applyBorder="1" applyProtection="1"/>
    <xf numFmtId="3" fontId="4" fillId="16" borderId="49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/>
    <xf numFmtId="0" fontId="2" fillId="0" borderId="32" xfId="0" applyFont="1" applyBorder="1" applyProtection="1"/>
    <xf numFmtId="0" fontId="17" fillId="0" borderId="47" xfId="0" applyFont="1" applyBorder="1" applyAlignment="1" applyProtection="1">
      <alignment horizontal="center"/>
    </xf>
    <xf numFmtId="0" fontId="10" fillId="0" borderId="47" xfId="0" applyFont="1" applyBorder="1" applyProtection="1"/>
    <xf numFmtId="0" fontId="2" fillId="0" borderId="43" xfId="0" applyFont="1" applyBorder="1" applyProtection="1"/>
    <xf numFmtId="0" fontId="3" fillId="0" borderId="32" xfId="0" applyFont="1" applyBorder="1" applyAlignment="1" applyProtection="1"/>
    <xf numFmtId="0" fontId="3" fillId="0" borderId="32" xfId="0" applyFont="1" applyBorder="1" applyProtection="1"/>
    <xf numFmtId="0" fontId="3" fillId="0" borderId="44" xfId="0" applyFont="1" applyBorder="1" applyAlignment="1" applyProtection="1">
      <alignment horizontal="centerContinuous"/>
    </xf>
    <xf numFmtId="0" fontId="90" fillId="0" borderId="0" xfId="0" applyFont="1" applyBorder="1" applyProtection="1"/>
    <xf numFmtId="0" fontId="90" fillId="19" borderId="0" xfId="0" applyFont="1" applyFill="1" applyBorder="1" applyProtection="1"/>
    <xf numFmtId="0" fontId="90" fillId="19" borderId="0" xfId="0" applyFont="1" applyFill="1" applyBorder="1" applyAlignment="1" applyProtection="1">
      <alignment horizontal="right"/>
    </xf>
    <xf numFmtId="10" fontId="13" fillId="0" borderId="0" xfId="2" applyNumberFormat="1" applyFont="1" applyBorder="1" applyAlignment="1" applyProtection="1">
      <alignment horizontal="center"/>
    </xf>
    <xf numFmtId="0" fontId="3" fillId="0" borderId="47" xfId="0" applyFont="1" applyBorder="1" applyAlignment="1" applyProtection="1">
      <alignment horizontal="center"/>
    </xf>
    <xf numFmtId="0" fontId="10" fillId="0" borderId="47" xfId="0" applyFont="1" applyBorder="1" applyAlignment="1" applyProtection="1">
      <alignment horizontal="center"/>
    </xf>
    <xf numFmtId="0" fontId="3" fillId="0" borderId="47" xfId="0" applyFont="1" applyBorder="1" applyProtection="1"/>
    <xf numFmtId="0" fontId="3" fillId="18" borderId="50" xfId="0" applyFont="1" applyFill="1" applyBorder="1" applyAlignment="1" applyProtection="1">
      <alignment horizontal="right" vertical="center"/>
    </xf>
    <xf numFmtId="0" fontId="4" fillId="16" borderId="32" xfId="0" applyFont="1" applyFill="1" applyBorder="1" applyAlignment="1" applyProtection="1">
      <alignment vertical="center"/>
    </xf>
    <xf numFmtId="0" fontId="4" fillId="16" borderId="15" xfId="0" applyFont="1" applyFill="1" applyBorder="1" applyAlignment="1" applyProtection="1">
      <alignment vertical="center"/>
    </xf>
    <xf numFmtId="0" fontId="4" fillId="16" borderId="50" xfId="0" applyFont="1" applyFill="1" applyBorder="1" applyAlignment="1" applyProtection="1">
      <alignment vertical="center"/>
    </xf>
    <xf numFmtId="4" fontId="6" fillId="0" borderId="43" xfId="1" applyNumberFormat="1" applyFont="1" applyBorder="1" applyAlignment="1" applyProtection="1">
      <alignment horizontal="center" vertical="center"/>
    </xf>
    <xf numFmtId="4" fontId="6" fillId="0" borderId="47" xfId="1" applyNumberFormat="1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4" fontId="6" fillId="0" borderId="43" xfId="1" applyNumberFormat="1" applyFont="1" applyFill="1" applyBorder="1" applyAlignment="1" applyProtection="1">
      <alignment horizontal="center" vertical="center"/>
    </xf>
    <xf numFmtId="4" fontId="6" fillId="0" borderId="47" xfId="1" applyNumberFormat="1" applyFont="1" applyFill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</xf>
    <xf numFmtId="0" fontId="6" fillId="0" borderId="48" xfId="0" applyFont="1" applyBorder="1" applyProtection="1"/>
    <xf numFmtId="0" fontId="6" fillId="0" borderId="47" xfId="0" applyFont="1" applyBorder="1" applyProtection="1"/>
    <xf numFmtId="4" fontId="6" fillId="0" borderId="48" xfId="1" applyNumberFormat="1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2" fillId="0" borderId="0" xfId="1" applyFont="1" applyFill="1" applyProtection="1"/>
    <xf numFmtId="0" fontId="55" fillId="0" borderId="0" xfId="1" applyFont="1" applyFill="1" applyBorder="1" applyAlignment="1">
      <alignment horizontal="left" vertical="center"/>
    </xf>
    <xf numFmtId="4" fontId="6" fillId="11" borderId="47" xfId="1" applyNumberFormat="1" applyFont="1" applyFill="1" applyBorder="1" applyAlignment="1" applyProtection="1">
      <alignment horizontal="center" vertical="center"/>
    </xf>
    <xf numFmtId="4" fontId="12" fillId="11" borderId="45" xfId="1" applyNumberFormat="1" applyFont="1" applyFill="1" applyBorder="1" applyAlignment="1" applyProtection="1">
      <alignment horizontal="left" vertical="center"/>
    </xf>
    <xf numFmtId="4" fontId="12" fillId="11" borderId="44" xfId="1" applyNumberFormat="1" applyFont="1" applyFill="1" applyBorder="1" applyAlignment="1" applyProtection="1">
      <alignment horizontal="left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1" applyFont="1"/>
    <xf numFmtId="0" fontId="44" fillId="0" borderId="0" xfId="0" applyFont="1" applyAlignment="1">
      <alignment vertical="center"/>
    </xf>
    <xf numFmtId="0" fontId="2" fillId="0" borderId="0" xfId="1" applyFont="1"/>
    <xf numFmtId="0" fontId="48" fillId="0" borderId="0" xfId="1" applyFont="1" applyAlignment="1">
      <alignment horizontal="center"/>
    </xf>
    <xf numFmtId="0" fontId="49" fillId="0" borderId="9" xfId="1" applyFont="1" applyBorder="1" applyAlignment="1">
      <alignment horizontal="center" vertical="center"/>
    </xf>
    <xf numFmtId="0" fontId="49" fillId="0" borderId="0" xfId="1" applyFont="1" applyAlignment="1">
      <alignment vertical="center"/>
    </xf>
    <xf numFmtId="0" fontId="2" fillId="0" borderId="10" xfId="1" applyFont="1" applyBorder="1"/>
    <xf numFmtId="0" fontId="2" fillId="0" borderId="11" xfId="1" applyFont="1" applyBorder="1"/>
    <xf numFmtId="2" fontId="2" fillId="8" borderId="11" xfId="1" applyNumberFormat="1" applyFont="1" applyFill="1" applyBorder="1" applyAlignment="1" applyProtection="1">
      <alignment horizontal="center"/>
      <protection locked="0"/>
    </xf>
    <xf numFmtId="2" fontId="2" fillId="8" borderId="13" xfId="1" applyNumberFormat="1" applyFont="1" applyFill="1" applyBorder="1" applyAlignment="1" applyProtection="1">
      <alignment horizontal="center"/>
      <protection locked="0"/>
    </xf>
    <xf numFmtId="2" fontId="48" fillId="0" borderId="55" xfId="1" applyNumberFormat="1" applyFont="1" applyBorder="1" applyAlignment="1">
      <alignment horizontal="center"/>
    </xf>
    <xf numFmtId="0" fontId="50" fillId="0" borderId="0" xfId="1" applyFont="1"/>
    <xf numFmtId="0" fontId="11" fillId="0" borderId="0" xfId="1" applyFont="1"/>
    <xf numFmtId="0" fontId="52" fillId="8" borderId="5" xfId="1" applyFont="1" applyFill="1" applyBorder="1" applyAlignment="1">
      <alignment horizontal="center" vertical="center"/>
    </xf>
    <xf numFmtId="0" fontId="2" fillId="0" borderId="1" xfId="1" applyFont="1" applyBorder="1"/>
    <xf numFmtId="0" fontId="2" fillId="0" borderId="5" xfId="1" applyFont="1" applyBorder="1"/>
    <xf numFmtId="2" fontId="2" fillId="8" borderId="5" xfId="1" applyNumberFormat="1" applyFont="1" applyFill="1" applyBorder="1" applyAlignment="1" applyProtection="1">
      <alignment horizontal="center"/>
      <protection locked="0"/>
    </xf>
    <xf numFmtId="2" fontId="2" fillId="8" borderId="6" xfId="1" applyNumberFormat="1" applyFont="1" applyFill="1" applyBorder="1" applyAlignment="1" applyProtection="1">
      <alignment horizontal="center"/>
      <protection locked="0"/>
    </xf>
    <xf numFmtId="2" fontId="48" fillId="0" borderId="56" xfId="1" applyNumberFormat="1" applyFont="1" applyBorder="1" applyAlignment="1">
      <alignment horizontal="center"/>
    </xf>
    <xf numFmtId="0" fontId="2" fillId="0" borderId="2" xfId="1" applyFont="1" applyBorder="1"/>
    <xf numFmtId="0" fontId="2" fillId="0" borderId="7" xfId="1" applyFont="1" applyBorder="1"/>
    <xf numFmtId="2" fontId="2" fillId="8" borderId="7" xfId="1" applyNumberFormat="1" applyFont="1" applyFill="1" applyBorder="1" applyAlignment="1" applyProtection="1">
      <alignment horizontal="center"/>
      <protection locked="0"/>
    </xf>
    <xf numFmtId="2" fontId="2" fillId="8" borderId="8" xfId="1" applyNumberFormat="1" applyFont="1" applyFill="1" applyBorder="1" applyAlignment="1" applyProtection="1">
      <alignment horizontal="center"/>
      <protection locked="0"/>
    </xf>
    <xf numFmtId="2" fontId="48" fillId="0" borderId="57" xfId="1" applyNumberFormat="1" applyFont="1" applyBorder="1" applyAlignment="1">
      <alignment horizontal="center"/>
    </xf>
    <xf numFmtId="0" fontId="2" fillId="0" borderId="0" xfId="1" applyFont="1" applyFill="1" applyBorder="1" applyAlignment="1"/>
    <xf numFmtId="0" fontId="98" fillId="0" borderId="0" xfId="0" applyFont="1" applyAlignment="1">
      <alignment vertical="center"/>
    </xf>
    <xf numFmtId="2" fontId="67" fillId="0" borderId="0" xfId="1" applyNumberFormat="1" applyFont="1" applyAlignment="1">
      <alignment vertical="center"/>
    </xf>
    <xf numFmtId="0" fontId="64" fillId="0" borderId="0" xfId="1" applyFont="1" applyFill="1" applyAlignment="1">
      <alignment vertical="center"/>
    </xf>
    <xf numFmtId="0" fontId="99" fillId="0" borderId="0" xfId="1" applyFont="1" applyAlignment="1">
      <alignment vertical="center"/>
    </xf>
    <xf numFmtId="0" fontId="54" fillId="0" borderId="20" xfId="1" applyFont="1" applyBorder="1" applyAlignment="1">
      <alignment horizontal="left" vertical="center" wrapText="1"/>
    </xf>
    <xf numFmtId="0" fontId="54" fillId="0" borderId="21" xfId="1" applyFont="1" applyBorder="1" applyAlignment="1">
      <alignment horizontal="left" vertical="center" wrapText="1"/>
    </xf>
    <xf numFmtId="0" fontId="53" fillId="0" borderId="0" xfId="1" applyFont="1" applyAlignment="1">
      <alignment horizontal="left" vertical="center"/>
    </xf>
    <xf numFmtId="0" fontId="41" fillId="0" borderId="0" xfId="0" quotePrefix="1" applyFont="1" applyAlignment="1">
      <alignment horizontal="left" vertical="center" indent="1"/>
    </xf>
    <xf numFmtId="0" fontId="13" fillId="0" borderId="0" xfId="0" applyFont="1" applyBorder="1" applyAlignment="1" applyProtection="1">
      <alignment horizontal="left"/>
    </xf>
    <xf numFmtId="0" fontId="13" fillId="15" borderId="21" xfId="1" applyFont="1" applyFill="1" applyBorder="1" applyAlignment="1" applyProtection="1">
      <alignment horizontal="center" vertical="center"/>
    </xf>
    <xf numFmtId="0" fontId="13" fillId="16" borderId="19" xfId="1" applyFont="1" applyFill="1" applyBorder="1" applyAlignment="1" applyProtection="1">
      <alignment horizontal="center" vertical="center"/>
    </xf>
    <xf numFmtId="0" fontId="13" fillId="16" borderId="21" xfId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9" fillId="3" borderId="0" xfId="0" applyFont="1" applyFill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7" fillId="0" borderId="45" xfId="0" applyFont="1" applyBorder="1" applyAlignment="1" applyProtection="1">
      <alignment horizontal="center"/>
    </xf>
    <xf numFmtId="0" fontId="55" fillId="14" borderId="14" xfId="1" applyFont="1" applyFill="1" applyBorder="1" applyAlignment="1">
      <alignment horizontal="left" vertical="center"/>
    </xf>
    <xf numFmtId="0" fontId="55" fillId="14" borderId="15" xfId="1" applyFont="1" applyFill="1" applyBorder="1" applyAlignment="1">
      <alignment horizontal="left" vertical="center"/>
    </xf>
    <xf numFmtId="0" fontId="55" fillId="14" borderId="37" xfId="1" applyFont="1" applyFill="1" applyBorder="1" applyAlignment="1">
      <alignment horizontal="left" vertical="center"/>
    </xf>
    <xf numFmtId="0" fontId="20" fillId="0" borderId="58" xfId="1" applyFont="1" applyBorder="1" applyAlignment="1">
      <alignment horizontal="left" vertical="center" wrapText="1"/>
    </xf>
    <xf numFmtId="0" fontId="53" fillId="0" borderId="12" xfId="1" applyFont="1" applyBorder="1" applyAlignment="1">
      <alignment horizontal="left" vertical="center" wrapText="1"/>
    </xf>
    <xf numFmtId="0" fontId="53" fillId="0" borderId="31" xfId="1" applyFont="1" applyBorder="1" applyAlignment="1">
      <alignment horizontal="left" vertical="center" wrapText="1"/>
    </xf>
    <xf numFmtId="0" fontId="53" fillId="0" borderId="59" xfId="1" applyFont="1" applyBorder="1" applyAlignment="1">
      <alignment horizontal="left" vertical="center"/>
    </xf>
    <xf numFmtId="0" fontId="53" fillId="0" borderId="15" xfId="1" applyFont="1" applyBorder="1" applyAlignment="1">
      <alignment horizontal="left" vertical="center"/>
    </xf>
    <xf numFmtId="0" fontId="53" fillId="0" borderId="59" xfId="1" applyFont="1" applyBorder="1" applyAlignment="1">
      <alignment horizontal="center" vertical="center"/>
    </xf>
    <xf numFmtId="0" fontId="53" fillId="0" borderId="30" xfId="1" applyFont="1" applyBorder="1" applyAlignment="1">
      <alignment horizontal="center" vertical="center"/>
    </xf>
    <xf numFmtId="0" fontId="54" fillId="12" borderId="19" xfId="1" quotePrefix="1" applyFont="1" applyFill="1" applyBorder="1" applyAlignment="1">
      <alignment horizontal="left" vertical="center" wrapText="1"/>
    </xf>
    <xf numFmtId="0" fontId="54" fillId="12" borderId="20" xfId="1" quotePrefix="1" applyFont="1" applyFill="1" applyBorder="1" applyAlignment="1">
      <alignment horizontal="left" vertical="center" wrapText="1"/>
    </xf>
    <xf numFmtId="0" fontId="54" fillId="12" borderId="21" xfId="1" quotePrefix="1" applyFont="1" applyFill="1" applyBorder="1" applyAlignment="1">
      <alignment horizontal="left" vertical="center" wrapText="1"/>
    </xf>
    <xf numFmtId="2" fontId="54" fillId="12" borderId="9" xfId="1" applyNumberFormat="1" applyFont="1" applyFill="1" applyBorder="1" applyAlignment="1">
      <alignment horizontal="center" vertical="center"/>
    </xf>
    <xf numFmtId="0" fontId="54" fillId="12" borderId="9" xfId="1" applyFont="1" applyFill="1" applyBorder="1" applyAlignment="1">
      <alignment horizontal="center" vertical="center"/>
    </xf>
    <xf numFmtId="2" fontId="53" fillId="0" borderId="19" xfId="1" applyNumberFormat="1" applyFont="1" applyBorder="1" applyAlignment="1">
      <alignment horizontal="center" vertical="center"/>
    </xf>
    <xf numFmtId="2" fontId="53" fillId="0" borderId="21" xfId="1" applyNumberFormat="1" applyFont="1" applyBorder="1" applyAlignment="1">
      <alignment horizontal="center" vertical="center"/>
    </xf>
    <xf numFmtId="2" fontId="54" fillId="0" borderId="19" xfId="1" applyNumberFormat="1" applyFont="1" applyBorder="1" applyAlignment="1">
      <alignment horizontal="center" vertical="center"/>
    </xf>
    <xf numFmtId="2" fontId="54" fillId="0" borderId="21" xfId="1" applyNumberFormat="1" applyFont="1" applyBorder="1" applyAlignment="1">
      <alignment horizontal="center" vertical="center"/>
    </xf>
    <xf numFmtId="10" fontId="93" fillId="0" borderId="9" xfId="3" applyNumberFormat="1" applyFont="1" applyBorder="1" applyAlignment="1" applyProtection="1">
      <alignment horizontal="center" vertical="center"/>
    </xf>
    <xf numFmtId="0" fontId="54" fillId="17" borderId="19" xfId="1" quotePrefix="1" applyFont="1" applyFill="1" applyBorder="1" applyAlignment="1">
      <alignment horizontal="left" vertical="center" wrapText="1"/>
    </xf>
    <xf numFmtId="0" fontId="54" fillId="17" borderId="20" xfId="1" quotePrefix="1" applyFont="1" applyFill="1" applyBorder="1" applyAlignment="1">
      <alignment horizontal="left" vertical="center" wrapText="1"/>
    </xf>
    <xf numFmtId="0" fontId="54" fillId="17" borderId="21" xfId="1" quotePrefix="1" applyFont="1" applyFill="1" applyBorder="1" applyAlignment="1">
      <alignment horizontal="left" vertical="center" wrapText="1"/>
    </xf>
    <xf numFmtId="2" fontId="100" fillId="17" borderId="19" xfId="1" applyNumberFormat="1" applyFont="1" applyFill="1" applyBorder="1" applyAlignment="1" applyProtection="1">
      <alignment horizontal="center" vertical="center"/>
      <protection locked="0"/>
    </xf>
    <xf numFmtId="2" fontId="100" fillId="17" borderId="21" xfId="1" applyNumberFormat="1" applyFont="1" applyFill="1" applyBorder="1" applyAlignment="1" applyProtection="1">
      <alignment horizontal="center" vertical="center"/>
      <protection locked="0"/>
    </xf>
    <xf numFmtId="0" fontId="54" fillId="0" borderId="19" xfId="1" applyFont="1" applyBorder="1" applyAlignment="1">
      <alignment horizontal="left" vertical="center" wrapText="1"/>
    </xf>
    <xf numFmtId="0" fontId="54" fillId="0" borderId="20" xfId="1" applyFont="1" applyBorder="1" applyAlignment="1">
      <alignment horizontal="left" vertical="center" wrapText="1"/>
    </xf>
    <xf numFmtId="0" fontId="54" fillId="0" borderId="21" xfId="1" applyFont="1" applyBorder="1" applyAlignment="1">
      <alignment horizontal="left" vertical="center" wrapText="1"/>
    </xf>
    <xf numFmtId="2" fontId="52" fillId="0" borderId="19" xfId="1" applyNumberFormat="1" applyFont="1" applyBorder="1" applyAlignment="1">
      <alignment horizontal="center" vertical="center"/>
    </xf>
    <xf numFmtId="2" fontId="52" fillId="0" borderId="21" xfId="1" applyNumberFormat="1" applyFont="1" applyBorder="1" applyAlignment="1">
      <alignment horizontal="center" vertical="center"/>
    </xf>
    <xf numFmtId="0" fontId="53" fillId="0" borderId="47" xfId="1" applyFont="1" applyBorder="1" applyAlignment="1">
      <alignment horizontal="left" vertical="center"/>
    </xf>
    <xf numFmtId="0" fontId="53" fillId="0" borderId="0" xfId="1" applyFont="1" applyAlignment="1">
      <alignment horizontal="left" vertical="center"/>
    </xf>
    <xf numFmtId="0" fontId="53" fillId="0" borderId="45" xfId="1" applyFont="1" applyBorder="1" applyAlignment="1">
      <alignment horizontal="left" vertical="center"/>
    </xf>
    <xf numFmtId="0" fontId="53" fillId="0" borderId="60" xfId="1" applyFont="1" applyBorder="1" applyAlignment="1">
      <alignment horizontal="left" vertical="center"/>
    </xf>
    <xf numFmtId="0" fontId="53" fillId="0" borderId="22" xfId="1" applyFont="1" applyBorder="1" applyAlignment="1">
      <alignment horizontal="left" vertical="center"/>
    </xf>
    <xf numFmtId="0" fontId="53" fillId="0" borderId="29" xfId="1" applyFont="1" applyBorder="1" applyAlignment="1">
      <alignment horizontal="left" vertical="center"/>
    </xf>
    <xf numFmtId="0" fontId="53" fillId="0" borderId="60" xfId="1" applyFont="1" applyBorder="1" applyAlignment="1">
      <alignment horizontal="center" vertical="center"/>
    </xf>
    <xf numFmtId="0" fontId="53" fillId="0" borderId="29" xfId="1" applyFont="1" applyBorder="1" applyAlignment="1">
      <alignment horizontal="center" vertical="center"/>
    </xf>
    <xf numFmtId="0" fontId="53" fillId="15" borderId="59" xfId="1" applyFont="1" applyFill="1" applyBorder="1" applyAlignment="1" applyProtection="1">
      <alignment horizontal="center" vertical="center"/>
      <protection locked="0"/>
    </xf>
    <xf numFmtId="0" fontId="53" fillId="15" borderId="30" xfId="1" applyFont="1" applyFill="1" applyBorder="1" applyAlignment="1" applyProtection="1">
      <alignment horizontal="center" vertical="center"/>
      <protection locked="0"/>
    </xf>
    <xf numFmtId="0" fontId="53" fillId="0" borderId="59" xfId="1" applyFont="1" applyBorder="1" applyAlignment="1">
      <alignment vertical="center"/>
    </xf>
    <xf numFmtId="0" fontId="53" fillId="0" borderId="15" xfId="1" applyFont="1" applyBorder="1" applyAlignment="1">
      <alignment vertical="center"/>
    </xf>
    <xf numFmtId="0" fontId="53" fillId="0" borderId="37" xfId="1" applyFont="1" applyBorder="1" applyAlignment="1">
      <alignment vertical="center"/>
    </xf>
    <xf numFmtId="0" fontId="20" fillId="8" borderId="15" xfId="1" applyFont="1" applyFill="1" applyBorder="1" applyAlignment="1" applyProtection="1">
      <alignment horizontal="left" vertical="center"/>
      <protection locked="0"/>
    </xf>
    <xf numFmtId="0" fontId="53" fillId="8" borderId="30" xfId="1" applyFont="1" applyFill="1" applyBorder="1" applyAlignment="1" applyProtection="1">
      <alignment horizontal="left" vertical="center"/>
      <protection locked="0"/>
    </xf>
    <xf numFmtId="0" fontId="53" fillId="0" borderId="17" xfId="1" applyFont="1" applyBorder="1" applyAlignment="1">
      <alignment vertical="center"/>
    </xf>
    <xf numFmtId="0" fontId="53" fillId="0" borderId="61" xfId="1" applyFont="1" applyBorder="1" applyAlignment="1">
      <alignment vertical="center"/>
    </xf>
    <xf numFmtId="0" fontId="53" fillId="0" borderId="39" xfId="1" applyFont="1" applyBorder="1" applyAlignment="1">
      <alignment vertical="center"/>
    </xf>
    <xf numFmtId="0" fontId="53" fillId="8" borderId="61" xfId="1" applyFont="1" applyFill="1" applyBorder="1" applyAlignment="1" applyProtection="1">
      <alignment horizontal="left" vertical="center"/>
      <protection locked="0"/>
    </xf>
    <xf numFmtId="0" fontId="53" fillId="8" borderId="18" xfId="1" applyFont="1" applyFill="1" applyBorder="1" applyAlignment="1" applyProtection="1">
      <alignment horizontal="left" vertical="center"/>
      <protection locked="0"/>
    </xf>
    <xf numFmtId="0" fontId="56" fillId="20" borderId="58" xfId="1" applyFont="1" applyFill="1" applyBorder="1" applyAlignment="1">
      <alignment horizontal="center" vertical="center"/>
    </xf>
    <xf numFmtId="0" fontId="56" fillId="20" borderId="12" xfId="1" applyFont="1" applyFill="1" applyBorder="1" applyAlignment="1">
      <alignment horizontal="center" vertical="center"/>
    </xf>
    <xf numFmtId="0" fontId="56" fillId="20" borderId="31" xfId="1" applyFont="1" applyFill="1" applyBorder="1" applyAlignment="1">
      <alignment horizontal="center" vertical="center"/>
    </xf>
    <xf numFmtId="0" fontId="53" fillId="0" borderId="43" xfId="1" applyFont="1" applyBorder="1" applyAlignment="1">
      <alignment horizontal="left" vertical="center" wrapText="1"/>
    </xf>
    <xf numFmtId="0" fontId="53" fillId="0" borderId="32" xfId="1" applyFont="1" applyBorder="1" applyAlignment="1">
      <alignment horizontal="left" vertical="center" wrapText="1"/>
    </xf>
    <xf numFmtId="0" fontId="53" fillId="0" borderId="44" xfId="1" applyFont="1" applyBorder="1" applyAlignment="1">
      <alignment horizontal="left" vertical="center" wrapText="1"/>
    </xf>
    <xf numFmtId="0" fontId="53" fillId="0" borderId="48" xfId="1" applyFont="1" applyBorder="1" applyAlignment="1">
      <alignment horizontal="left" vertical="center" wrapText="1"/>
    </xf>
    <xf numFmtId="0" fontId="53" fillId="0" borderId="50" xfId="1" applyFont="1" applyBorder="1" applyAlignment="1">
      <alignment horizontal="left" vertical="center" wrapText="1"/>
    </xf>
    <xf numFmtId="0" fontId="53" fillId="0" borderId="49" xfId="1" applyFont="1" applyBorder="1" applyAlignment="1">
      <alignment horizontal="left" vertical="center" wrapText="1"/>
    </xf>
    <xf numFmtId="0" fontId="53" fillId="17" borderId="58" xfId="1" applyFont="1" applyFill="1" applyBorder="1" applyAlignment="1" applyProtection="1">
      <alignment horizontal="center" vertical="center" wrapText="1"/>
      <protection locked="0"/>
    </xf>
    <xf numFmtId="0" fontId="53" fillId="17" borderId="31" xfId="1" applyFont="1" applyFill="1" applyBorder="1" applyAlignment="1" applyProtection="1">
      <alignment horizontal="center" vertical="center" wrapText="1"/>
      <protection locked="0"/>
    </xf>
    <xf numFmtId="0" fontId="101" fillId="5" borderId="47" xfId="1" applyFont="1" applyFill="1" applyBorder="1" applyAlignment="1">
      <alignment horizontal="left" vertical="center" wrapText="1"/>
    </xf>
    <xf numFmtId="0" fontId="101" fillId="5" borderId="0" xfId="1" applyFont="1" applyFill="1" applyAlignment="1">
      <alignment horizontal="left" vertical="center" wrapText="1"/>
    </xf>
    <xf numFmtId="0" fontId="102" fillId="0" borderId="0" xfId="1" applyFont="1" applyAlignment="1">
      <alignment horizontal="center" vertical="center"/>
    </xf>
    <xf numFmtId="0" fontId="53" fillId="8" borderId="15" xfId="1" applyFont="1" applyFill="1" applyBorder="1" applyAlignment="1" applyProtection="1">
      <alignment horizontal="left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 wrapText="1"/>
    </xf>
    <xf numFmtId="0" fontId="41" fillId="0" borderId="0" xfId="0" quotePrefix="1" applyFont="1" applyAlignment="1">
      <alignment horizontal="left" vertical="center" indent="1"/>
    </xf>
    <xf numFmtId="0" fontId="41" fillId="0" borderId="0" xfId="0" quotePrefix="1" applyFont="1" applyAlignment="1">
      <alignment horizontal="left" vertical="center" wrapText="1" indent="1"/>
    </xf>
    <xf numFmtId="0" fontId="46" fillId="0" borderId="23" xfId="1" applyFont="1" applyBorder="1" applyAlignment="1">
      <alignment horizontal="center" vertical="center" wrapText="1"/>
    </xf>
    <xf numFmtId="0" fontId="46" fillId="0" borderId="24" xfId="1" applyFont="1" applyBorder="1" applyAlignment="1">
      <alignment horizontal="center" vertical="center"/>
    </xf>
    <xf numFmtId="0" fontId="46" fillId="0" borderId="25" xfId="1" applyFont="1" applyBorder="1" applyAlignment="1">
      <alignment horizontal="center" vertical="center"/>
    </xf>
    <xf numFmtId="0" fontId="46" fillId="0" borderId="27" xfId="1" applyFont="1" applyBorder="1" applyAlignment="1">
      <alignment horizontal="center" vertical="center"/>
    </xf>
    <xf numFmtId="0" fontId="46" fillId="0" borderId="22" xfId="1" applyFont="1" applyBorder="1" applyAlignment="1">
      <alignment horizontal="center" vertical="center"/>
    </xf>
    <xf numFmtId="0" fontId="46" fillId="0" borderId="28" xfId="1" applyFont="1" applyBorder="1" applyAlignment="1">
      <alignment horizontal="center" vertical="center"/>
    </xf>
    <xf numFmtId="0" fontId="103" fillId="0" borderId="19" xfId="1" applyFont="1" applyBorder="1" applyAlignment="1">
      <alignment horizontal="center" vertical="center"/>
    </xf>
    <xf numFmtId="0" fontId="103" fillId="0" borderId="20" xfId="1" applyFont="1" applyBorder="1" applyAlignment="1">
      <alignment horizontal="center" vertical="center"/>
    </xf>
    <xf numFmtId="0" fontId="103" fillId="0" borderId="21" xfId="1" applyFont="1" applyBorder="1" applyAlignment="1">
      <alignment horizontal="center" vertical="center"/>
    </xf>
    <xf numFmtId="2" fontId="3" fillId="14" borderId="19" xfId="0" applyNumberFormat="1" applyFont="1" applyFill="1" applyBorder="1" applyAlignment="1" applyProtection="1">
      <alignment horizontal="center"/>
    </xf>
    <xf numFmtId="2" fontId="3" fillId="14" borderId="20" xfId="0" applyNumberFormat="1" applyFont="1" applyFill="1" applyBorder="1" applyAlignment="1" applyProtection="1">
      <alignment horizontal="center"/>
    </xf>
    <xf numFmtId="2" fontId="3" fillId="14" borderId="21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17" fillId="0" borderId="45" xfId="0" applyFont="1" applyBorder="1" applyAlignment="1" applyProtection="1">
      <alignment horizontal="center"/>
    </xf>
    <xf numFmtId="2" fontId="4" fillId="16" borderId="59" xfId="0" applyNumberFormat="1" applyFont="1" applyFill="1" applyBorder="1" applyAlignment="1" applyProtection="1">
      <alignment horizontal="center" vertical="center"/>
    </xf>
    <xf numFmtId="2" fontId="4" fillId="16" borderId="30" xfId="0" applyNumberFormat="1" applyFont="1" applyFill="1" applyBorder="1" applyAlignment="1" applyProtection="1">
      <alignment horizontal="center" vertical="center"/>
    </xf>
    <xf numFmtId="0" fontId="40" fillId="18" borderId="42" xfId="0" applyFont="1" applyFill="1" applyBorder="1" applyAlignment="1" applyProtection="1">
      <alignment horizontal="center" vertical="center" textRotation="255"/>
    </xf>
    <xf numFmtId="0" fontId="40" fillId="18" borderId="46" xfId="0" applyFont="1" applyFill="1" applyBorder="1" applyAlignment="1" applyProtection="1">
      <alignment horizontal="center" vertical="center" textRotation="255"/>
    </xf>
    <xf numFmtId="0" fontId="40" fillId="18" borderId="41" xfId="0" applyFont="1" applyFill="1" applyBorder="1" applyAlignment="1" applyProtection="1">
      <alignment horizontal="center" vertical="center" textRotation="255"/>
    </xf>
    <xf numFmtId="0" fontId="13" fillId="18" borderId="43" xfId="0" applyFont="1" applyFill="1" applyBorder="1" applyAlignment="1" applyProtection="1">
      <alignment horizontal="center" wrapText="1"/>
    </xf>
    <xf numFmtId="0" fontId="13" fillId="18" borderId="32" xfId="0" applyFont="1" applyFill="1" applyBorder="1" applyAlignment="1" applyProtection="1">
      <alignment horizontal="center" wrapText="1"/>
    </xf>
    <xf numFmtId="0" fontId="13" fillId="18" borderId="44" xfId="0" applyFont="1" applyFill="1" applyBorder="1" applyAlignment="1" applyProtection="1">
      <alignment horizontal="center" wrapText="1"/>
    </xf>
    <xf numFmtId="0" fontId="13" fillId="18" borderId="48" xfId="0" applyFont="1" applyFill="1" applyBorder="1" applyAlignment="1" applyProtection="1">
      <alignment horizontal="center" wrapText="1"/>
    </xf>
    <xf numFmtId="0" fontId="13" fillId="18" borderId="50" xfId="0" applyFont="1" applyFill="1" applyBorder="1" applyAlignment="1" applyProtection="1">
      <alignment horizontal="center" wrapText="1"/>
    </xf>
    <xf numFmtId="0" fontId="13" fillId="18" borderId="49" xfId="0" applyFont="1" applyFill="1" applyBorder="1" applyAlignment="1" applyProtection="1">
      <alignment horizontal="center" wrapText="1"/>
    </xf>
    <xf numFmtId="2" fontId="13" fillId="18" borderId="43" xfId="0" applyNumberFormat="1" applyFont="1" applyFill="1" applyBorder="1" applyAlignment="1" applyProtection="1">
      <alignment horizontal="center" vertical="center"/>
    </xf>
    <xf numFmtId="2" fontId="13" fillId="18" borderId="44" xfId="0" applyNumberFormat="1" applyFont="1" applyFill="1" applyBorder="1" applyAlignment="1" applyProtection="1">
      <alignment horizontal="center" vertical="center"/>
    </xf>
    <xf numFmtId="2" fontId="13" fillId="18" borderId="48" xfId="0" applyNumberFormat="1" applyFont="1" applyFill="1" applyBorder="1" applyAlignment="1" applyProtection="1">
      <alignment horizontal="center" vertical="center"/>
    </xf>
    <xf numFmtId="2" fontId="13" fillId="18" borderId="49" xfId="0" applyNumberFormat="1" applyFont="1" applyFill="1" applyBorder="1" applyAlignment="1" applyProtection="1">
      <alignment horizontal="center" vertical="center"/>
    </xf>
    <xf numFmtId="2" fontId="4" fillId="16" borderId="58" xfId="0" applyNumberFormat="1" applyFont="1" applyFill="1" applyBorder="1" applyAlignment="1" applyProtection="1">
      <alignment horizontal="center" vertical="center"/>
    </xf>
    <xf numFmtId="2" fontId="4" fillId="16" borderId="31" xfId="0" applyNumberFormat="1" applyFont="1" applyFill="1" applyBorder="1" applyAlignment="1" applyProtection="1">
      <alignment horizontal="center" vertical="center"/>
    </xf>
    <xf numFmtId="2" fontId="90" fillId="21" borderId="19" xfId="0" applyNumberFormat="1" applyFont="1" applyFill="1" applyBorder="1" applyAlignment="1" applyProtection="1">
      <alignment horizontal="center"/>
    </xf>
    <xf numFmtId="2" fontId="90" fillId="21" borderId="20" xfId="0" applyNumberFormat="1" applyFont="1" applyFill="1" applyBorder="1" applyAlignment="1" applyProtection="1">
      <alignment horizontal="center"/>
    </xf>
    <xf numFmtId="2" fontId="90" fillId="21" borderId="21" xfId="0" applyNumberFormat="1" applyFont="1" applyFill="1" applyBorder="1" applyAlignment="1" applyProtection="1">
      <alignment horizontal="center"/>
    </xf>
    <xf numFmtId="2" fontId="3" fillId="18" borderId="19" xfId="0" applyNumberFormat="1" applyFont="1" applyFill="1" applyBorder="1" applyAlignment="1" applyProtection="1">
      <alignment horizontal="center"/>
    </xf>
    <xf numFmtId="2" fontId="3" fillId="18" borderId="21" xfId="0" applyNumberFormat="1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13" fillId="0" borderId="45" xfId="0" applyFont="1" applyBorder="1" applyAlignment="1" applyProtection="1">
      <alignment horizontal="left"/>
    </xf>
    <xf numFmtId="2" fontId="13" fillId="0" borderId="19" xfId="1" applyNumberFormat="1" applyFont="1" applyBorder="1" applyAlignment="1" applyProtection="1">
      <alignment horizontal="center" vertical="center"/>
    </xf>
    <xf numFmtId="2" fontId="13" fillId="0" borderId="21" xfId="1" applyNumberFormat="1" applyFont="1" applyBorder="1" applyAlignment="1" applyProtection="1">
      <alignment horizontal="center" vertical="center"/>
    </xf>
    <xf numFmtId="4" fontId="13" fillId="15" borderId="19" xfId="1" applyNumberFormat="1" applyFont="1" applyFill="1" applyBorder="1" applyAlignment="1" applyProtection="1">
      <alignment horizontal="center" vertical="center"/>
    </xf>
    <xf numFmtId="0" fontId="13" fillId="15" borderId="21" xfId="1" applyFont="1" applyFill="1" applyBorder="1" applyAlignment="1" applyProtection="1">
      <alignment horizontal="center" vertical="center"/>
    </xf>
    <xf numFmtId="0" fontId="13" fillId="16" borderId="19" xfId="1" applyFont="1" applyFill="1" applyBorder="1" applyAlignment="1" applyProtection="1">
      <alignment horizontal="center" vertical="center"/>
    </xf>
    <xf numFmtId="0" fontId="13" fillId="16" borderId="21" xfId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/>
    </xf>
    <xf numFmtId="4" fontId="13" fillId="18" borderId="19" xfId="1" applyNumberFormat="1" applyFont="1" applyFill="1" applyBorder="1" applyAlignment="1" applyProtection="1">
      <alignment horizontal="center" vertical="center"/>
    </xf>
    <xf numFmtId="0" fontId="13" fillId="18" borderId="21" xfId="1" applyFont="1" applyFill="1" applyBorder="1" applyAlignment="1" applyProtection="1">
      <alignment horizontal="center" vertical="center"/>
    </xf>
    <xf numFmtId="164" fontId="3" fillId="0" borderId="32" xfId="0" applyNumberFormat="1" applyFont="1" applyBorder="1" applyAlignment="1" applyProtection="1">
      <alignment horizontal="center"/>
    </xf>
    <xf numFmtId="49" fontId="104" fillId="0" borderId="19" xfId="1" applyNumberFormat="1" applyFont="1" applyBorder="1" applyAlignment="1" applyProtection="1">
      <alignment horizontal="center" vertical="center"/>
    </xf>
    <xf numFmtId="49" fontId="104" fillId="0" borderId="20" xfId="1" applyNumberFormat="1" applyFont="1" applyBorder="1" applyAlignment="1" applyProtection="1">
      <alignment horizontal="center" vertical="center"/>
    </xf>
    <xf numFmtId="49" fontId="104" fillId="0" borderId="21" xfId="1" applyNumberFormat="1" applyFont="1" applyBorder="1" applyAlignment="1" applyProtection="1">
      <alignment horizontal="center" vertical="center"/>
    </xf>
    <xf numFmtId="0" fontId="3" fillId="0" borderId="48" xfId="1" applyFont="1" applyBorder="1" applyAlignment="1" applyProtection="1">
      <alignment horizontal="center"/>
    </xf>
    <xf numFmtId="0" fontId="3" fillId="0" borderId="49" xfId="1" applyFont="1" applyBorder="1" applyAlignment="1" applyProtection="1">
      <alignment horizontal="center"/>
    </xf>
    <xf numFmtId="2" fontId="13" fillId="0" borderId="19" xfId="1" applyNumberFormat="1" applyFont="1" applyBorder="1" applyAlignment="1" applyProtection="1">
      <alignment horizontal="center"/>
    </xf>
    <xf numFmtId="2" fontId="13" fillId="0" borderId="21" xfId="1" applyNumberFormat="1" applyFont="1" applyBorder="1" applyAlignment="1" applyProtection="1">
      <alignment horizontal="center"/>
    </xf>
    <xf numFmtId="2" fontId="13" fillId="0" borderId="20" xfId="1" applyNumberFormat="1" applyFont="1" applyBorder="1" applyAlignment="1" applyProtection="1">
      <alignment horizontal="center" vertical="center"/>
    </xf>
    <xf numFmtId="2" fontId="7" fillId="8" borderId="4" xfId="1" applyNumberFormat="1" applyFont="1" applyFill="1" applyBorder="1" applyAlignment="1" applyProtection="1">
      <alignment horizontal="center"/>
      <protection locked="0"/>
    </xf>
    <xf numFmtId="2" fontId="7" fillId="8" borderId="20" xfId="1" applyNumberFormat="1" applyFont="1" applyFill="1" applyBorder="1" applyAlignment="1" applyProtection="1">
      <alignment horizontal="center"/>
      <protection locked="0"/>
    </xf>
    <xf numFmtId="2" fontId="7" fillId="8" borderId="62" xfId="1" applyNumberFormat="1" applyFont="1" applyFill="1" applyBorder="1" applyAlignment="1" applyProtection="1">
      <alignment horizontal="center"/>
      <protection locked="0"/>
    </xf>
    <xf numFmtId="49" fontId="104" fillId="0" borderId="32" xfId="1" applyNumberFormat="1" applyFont="1" applyBorder="1" applyAlignment="1" applyProtection="1">
      <alignment horizontal="center" vertical="center"/>
    </xf>
    <xf numFmtId="49" fontId="104" fillId="0" borderId="44" xfId="1" applyNumberFormat="1" applyFont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left" vertical="center"/>
    </xf>
    <xf numFmtId="2" fontId="3" fillId="0" borderId="50" xfId="1" applyNumberFormat="1" applyFont="1" applyBorder="1" applyAlignment="1" applyProtection="1">
      <alignment horizontal="center" vertical="center"/>
    </xf>
    <xf numFmtId="2" fontId="3" fillId="0" borderId="49" xfId="1" applyNumberFormat="1" applyFont="1" applyBorder="1" applyAlignment="1" applyProtection="1">
      <alignment horizontal="center" vertical="center"/>
    </xf>
    <xf numFmtId="2" fontId="13" fillId="0" borderId="48" xfId="1" applyNumberFormat="1" applyFont="1" applyBorder="1" applyAlignment="1" applyProtection="1">
      <alignment horizontal="center"/>
    </xf>
    <xf numFmtId="2" fontId="13" fillId="0" borderId="49" xfId="1" applyNumberFormat="1" applyFont="1" applyBorder="1" applyAlignment="1" applyProtection="1">
      <alignment horizontal="center"/>
    </xf>
    <xf numFmtId="2" fontId="3" fillId="0" borderId="19" xfId="1" applyNumberFormat="1" applyFont="1" applyBorder="1" applyAlignment="1" applyProtection="1">
      <alignment horizontal="center"/>
    </xf>
    <xf numFmtId="2" fontId="3" fillId="0" borderId="20" xfId="1" applyNumberFormat="1" applyFont="1" applyBorder="1" applyAlignment="1" applyProtection="1">
      <alignment horizontal="center"/>
    </xf>
    <xf numFmtId="2" fontId="3" fillId="0" borderId="21" xfId="1" applyNumberFormat="1" applyFont="1" applyBorder="1" applyAlignment="1" applyProtection="1">
      <alignment horizontal="center"/>
    </xf>
    <xf numFmtId="2" fontId="3" fillId="0" borderId="48" xfId="1" applyNumberFormat="1" applyFont="1" applyBorder="1" applyAlignment="1" applyProtection="1">
      <alignment horizontal="center"/>
    </xf>
    <xf numFmtId="2" fontId="3" fillId="0" borderId="50" xfId="1" applyNumberFormat="1" applyFont="1" applyBorder="1" applyAlignment="1" applyProtection="1">
      <alignment horizontal="center"/>
    </xf>
    <xf numFmtId="2" fontId="3" fillId="0" borderId="49" xfId="1" applyNumberFormat="1" applyFont="1" applyBorder="1" applyAlignment="1" applyProtection="1">
      <alignment horizontal="center"/>
    </xf>
    <xf numFmtId="0" fontId="4" fillId="0" borderId="59" xfId="1" applyFont="1" applyBorder="1" applyAlignment="1" applyProtection="1">
      <alignment horizontal="left"/>
    </xf>
    <xf numFmtId="0" fontId="4" fillId="0" borderId="30" xfId="1" applyFont="1" applyBorder="1" applyAlignment="1" applyProtection="1">
      <alignment horizontal="left"/>
    </xf>
    <xf numFmtId="0" fontId="4" fillId="0" borderId="1" xfId="1" applyFont="1" applyBorder="1" applyAlignment="1" applyProtection="1">
      <alignment horizontal="left"/>
    </xf>
    <xf numFmtId="0" fontId="4" fillId="0" borderId="6" xfId="1" applyFont="1" applyBorder="1" applyAlignment="1" applyProtection="1">
      <alignment horizontal="left"/>
    </xf>
    <xf numFmtId="0" fontId="4" fillId="0" borderId="10" xfId="1" applyFont="1" applyBorder="1" applyAlignment="1" applyProtection="1">
      <alignment horizontal="left"/>
    </xf>
    <xf numFmtId="0" fontId="4" fillId="0" borderId="13" xfId="1" applyFont="1" applyBorder="1" applyAlignment="1" applyProtection="1">
      <alignment horizontal="left"/>
    </xf>
    <xf numFmtId="0" fontId="4" fillId="0" borderId="2" xfId="1" applyFont="1" applyBorder="1" applyAlignment="1" applyProtection="1">
      <alignment horizontal="left"/>
    </xf>
    <xf numFmtId="0" fontId="4" fillId="0" borderId="8" xfId="1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2" fontId="7" fillId="8" borderId="63" xfId="1" applyNumberFormat="1" applyFont="1" applyFill="1" applyBorder="1" applyAlignment="1" applyProtection="1">
      <alignment horizontal="center"/>
      <protection locked="0"/>
    </xf>
    <xf numFmtId="0" fontId="16" fillId="2" borderId="43" xfId="1" applyFont="1" applyFill="1" applyBorder="1" applyAlignment="1" applyProtection="1">
      <alignment horizontal="center"/>
    </xf>
    <xf numFmtId="0" fontId="16" fillId="2" borderId="32" xfId="1" applyFont="1" applyFill="1" applyBorder="1" applyAlignment="1" applyProtection="1">
      <alignment horizontal="center"/>
    </xf>
    <xf numFmtId="0" fontId="16" fillId="2" borderId="44" xfId="1" applyFont="1" applyFill="1" applyBorder="1" applyAlignment="1" applyProtection="1">
      <alignment horizontal="center"/>
    </xf>
    <xf numFmtId="2" fontId="3" fillId="0" borderId="48" xfId="1" applyNumberFormat="1" applyFont="1" applyBorder="1" applyAlignment="1" applyProtection="1">
      <alignment horizontal="center" vertical="center"/>
    </xf>
    <xf numFmtId="0" fontId="3" fillId="14" borderId="32" xfId="1" applyFont="1" applyFill="1" applyBorder="1" applyAlignment="1" applyProtection="1">
      <alignment horizontal="center"/>
    </xf>
    <xf numFmtId="0" fontId="3" fillId="14" borderId="44" xfId="1" applyFont="1" applyFill="1" applyBorder="1" applyAlignment="1" applyProtection="1">
      <alignment horizontal="center"/>
    </xf>
    <xf numFmtId="0" fontId="3" fillId="14" borderId="19" xfId="1" applyFont="1" applyFill="1" applyBorder="1" applyAlignment="1" applyProtection="1">
      <alignment horizontal="center" vertical="center"/>
    </xf>
    <xf numFmtId="0" fontId="3" fillId="14" borderId="20" xfId="1" applyFont="1" applyFill="1" applyBorder="1" applyAlignment="1" applyProtection="1">
      <alignment horizontal="center" vertical="center"/>
    </xf>
    <xf numFmtId="0" fontId="3" fillId="14" borderId="21" xfId="1" applyFont="1" applyFill="1" applyBorder="1" applyAlignment="1" applyProtection="1">
      <alignment horizontal="center" vertical="center"/>
    </xf>
    <xf numFmtId="0" fontId="3" fillId="14" borderId="43" xfId="1" applyFont="1" applyFill="1" applyBorder="1" applyAlignment="1" applyProtection="1">
      <alignment horizontal="center"/>
    </xf>
    <xf numFmtId="0" fontId="16" fillId="2" borderId="19" xfId="1" applyFont="1" applyFill="1" applyBorder="1" applyAlignment="1" applyProtection="1">
      <alignment horizontal="center"/>
    </xf>
    <xf numFmtId="0" fontId="16" fillId="2" borderId="20" xfId="1" applyFont="1" applyFill="1" applyBorder="1" applyAlignment="1" applyProtection="1">
      <alignment horizontal="center"/>
    </xf>
    <xf numFmtId="0" fontId="16" fillId="2" borderId="21" xfId="1" applyFont="1" applyFill="1" applyBorder="1" applyAlignment="1" applyProtection="1">
      <alignment horizontal="center"/>
    </xf>
    <xf numFmtId="0" fontId="3" fillId="14" borderId="43" xfId="1" applyFont="1" applyFill="1" applyBorder="1" applyAlignment="1" applyProtection="1">
      <alignment horizontal="center" vertical="center" wrapText="1"/>
    </xf>
    <xf numFmtId="0" fontId="3" fillId="14" borderId="32" xfId="1" applyFont="1" applyFill="1" applyBorder="1" applyAlignment="1" applyProtection="1">
      <alignment horizontal="center" vertical="center" wrapText="1"/>
    </xf>
    <xf numFmtId="0" fontId="3" fillId="14" borderId="44" xfId="1" applyFont="1" applyFill="1" applyBorder="1" applyAlignment="1" applyProtection="1">
      <alignment horizontal="center" vertical="center" wrapText="1"/>
    </xf>
    <xf numFmtId="0" fontId="3" fillId="14" borderId="47" xfId="1" applyFont="1" applyFill="1" applyBorder="1" applyAlignment="1" applyProtection="1">
      <alignment horizontal="center" vertical="center" wrapText="1"/>
    </xf>
    <xf numFmtId="0" fontId="3" fillId="14" borderId="0" xfId="1" applyFont="1" applyFill="1" applyBorder="1" applyAlignment="1" applyProtection="1">
      <alignment horizontal="center" vertical="center" wrapText="1"/>
    </xf>
    <xf numFmtId="0" fontId="3" fillId="14" borderId="45" xfId="1" applyFont="1" applyFill="1" applyBorder="1" applyAlignment="1" applyProtection="1">
      <alignment horizontal="center" vertical="center" wrapText="1"/>
    </xf>
    <xf numFmtId="2" fontId="7" fillId="8" borderId="21" xfId="1" applyNumberFormat="1" applyFont="1" applyFill="1" applyBorder="1" applyAlignment="1" applyProtection="1">
      <alignment horizontal="center"/>
      <protection locked="0"/>
    </xf>
    <xf numFmtId="0" fontId="13" fillId="18" borderId="19" xfId="1" applyFont="1" applyFill="1" applyBorder="1" applyAlignment="1" applyProtection="1">
      <alignment horizontal="center" vertical="center"/>
    </xf>
    <xf numFmtId="0" fontId="7" fillId="18" borderId="19" xfId="0" applyFont="1" applyFill="1" applyBorder="1" applyAlignment="1" applyProtection="1">
      <alignment horizontal="center" vertical="center"/>
    </xf>
    <xf numFmtId="0" fontId="7" fillId="18" borderId="20" xfId="0" applyFont="1" applyFill="1" applyBorder="1" applyAlignment="1" applyProtection="1">
      <alignment horizontal="center" vertical="center"/>
    </xf>
    <xf numFmtId="0" fontId="7" fillId="18" borderId="21" xfId="0" applyFont="1" applyFill="1" applyBorder="1" applyAlignment="1" applyProtection="1">
      <alignment horizontal="center" vertical="center"/>
    </xf>
    <xf numFmtId="2" fontId="3" fillId="18" borderId="20" xfId="0" applyNumberFormat="1" applyFont="1" applyFill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</cellXfs>
  <cellStyles count="4">
    <cellStyle name="Normal" xfId="0" builtinId="0"/>
    <cellStyle name="Normal 2" xfId="1" xr:uid="{68D8F05D-A837-4652-B216-4F6315CF3449}"/>
    <cellStyle name="Pourcentage" xfId="2" builtinId="5"/>
    <cellStyle name="Pourcentage 2" xfId="3" xr:uid="{21D9056E-1B6D-4EF7-BC10-C83E6DAD7776}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9</xdr:col>
      <xdr:colOff>333375</xdr:colOff>
      <xdr:row>47</xdr:row>
      <xdr:rowOff>114300</xdr:rowOff>
    </xdr:to>
    <xdr:pic>
      <xdr:nvPicPr>
        <xdr:cNvPr id="2199" name="Image 1">
          <a:extLst>
            <a:ext uri="{FF2B5EF4-FFF2-40B4-BE49-F238E27FC236}">
              <a16:creationId xmlns:a16="http://schemas.microsoft.com/office/drawing/2014/main" id="{31FE4DA8-D221-837E-9F30-DCB32099B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428750"/>
          <a:ext cx="6429375" cy="642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PROD\DocMIMI\DOCUME~1\boucaux\LOCALS~1\Temp\BITAU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nogec-my.sharepoint.com/personal/n_delaunay_asrec-cvl_org/Documents/Bureau/Nouveau%20Feuille%20de%20calcul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 CDI"/>
      <sheetName val="Notice Contrat aidé"/>
      <sheetName val="Notice Surveillant de Nuit"/>
      <sheetName val="Notice Apprenti"/>
      <sheetName val="Horaires"/>
      <sheetName val="Planning CDI 10-11 Zone B"/>
      <sheetName val="Planning 10-11 Contrat aidé Z B"/>
      <sheetName val=" Surv de nuit10-11 Zone B "/>
      <sheetName val="Planning 10-11 Apprenti Z-B"/>
      <sheetName val="Planning CDI 10-11 Zone C"/>
      <sheetName val="Planning 10-11 Contrat aidé Z C"/>
      <sheetName val="Planning Surv 10-11 Zone C"/>
      <sheetName val="Planning 10-11 Apprenti Z-C"/>
      <sheetName val="Planning CDI 10-11 Zone A"/>
      <sheetName val="Planning 10-11 Contrat aidé Z A"/>
      <sheetName val="Planning Surv 10-11 Zone A "/>
      <sheetName val="Planning 10-11 Apprenti Z-A"/>
      <sheetName val="bulletin CUI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ning SURV INTERNAT 24-25 ZB"/>
      <sheetName val="Planning SURV INTERNAT 24-25 ZC"/>
      <sheetName val="Feuil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Personnalisé 2">
      <a:dk1>
        <a:sysClr val="windowText" lastClr="000000"/>
      </a:dk1>
      <a:lt1>
        <a:sysClr val="window" lastClr="FFFFFF"/>
      </a:lt1>
      <a:dk2>
        <a:srgbClr val="85EB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242F-DC55-46CC-8DAA-529C51A55FA1}">
  <sheetPr>
    <tabColor theme="4" tint="-0.249977111117893"/>
    <pageSetUpPr fitToPage="1"/>
  </sheetPr>
  <dimension ref="A1:T93"/>
  <sheetViews>
    <sheetView showGridLines="0" topLeftCell="A35" zoomScaleNormal="100" workbookViewId="0">
      <selection activeCell="A6" sqref="A6:IV8"/>
    </sheetView>
  </sheetViews>
  <sheetFormatPr defaultColWidth="11.42578125" defaultRowHeight="15" customHeight="1"/>
  <cols>
    <col min="1" max="3" width="15.28515625" style="47" customWidth="1"/>
    <col min="4" max="4" width="16.7109375" style="47" customWidth="1"/>
    <col min="5" max="5" width="13.7109375" style="47" customWidth="1"/>
    <col min="6" max="6" width="14.7109375" style="47" customWidth="1"/>
    <col min="7" max="7" width="14.28515625" style="47" customWidth="1"/>
    <col min="8" max="8" width="13.28515625" style="75" customWidth="1"/>
    <col min="9" max="9" width="18.7109375" style="47" customWidth="1"/>
    <col min="10" max="11" width="13.7109375" style="47" customWidth="1"/>
    <col min="12" max="12" width="13.28515625" style="47" customWidth="1"/>
    <col min="13" max="13" width="34.5703125" style="75" bestFit="1" customWidth="1"/>
    <col min="14" max="16" width="11.7109375" style="75" customWidth="1"/>
    <col min="17" max="17" width="11.7109375" style="47" customWidth="1"/>
    <col min="18" max="16384" width="11.42578125" style="47"/>
  </cols>
  <sheetData>
    <row r="1" spans="1:16" ht="30.75" customHeight="1">
      <c r="A1" s="474" t="s">
        <v>0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</row>
    <row r="2" spans="1:16" ht="6.75" customHeight="1"/>
    <row r="3" spans="1:16" ht="20.100000000000001" customHeight="1">
      <c r="A3" s="76" t="s">
        <v>1</v>
      </c>
      <c r="B3" s="77"/>
      <c r="C3" s="77"/>
      <c r="D3" s="77"/>
      <c r="E3" s="77"/>
      <c r="F3" s="77"/>
      <c r="G3" s="77"/>
      <c r="H3" s="78"/>
      <c r="I3" s="77"/>
      <c r="J3" s="77"/>
      <c r="K3" s="77"/>
      <c r="L3" s="77"/>
      <c r="M3" s="79"/>
      <c r="N3" s="80"/>
      <c r="O3" s="80"/>
      <c r="P3" s="80"/>
    </row>
    <row r="4" spans="1:16" ht="20.100000000000001" customHeight="1">
      <c r="A4" s="81" t="s">
        <v>2</v>
      </c>
      <c r="B4" s="82"/>
      <c r="C4" s="82"/>
      <c r="D4" s="82"/>
      <c r="E4" s="82"/>
      <c r="F4" s="82"/>
      <c r="G4" s="82"/>
      <c r="H4" s="79"/>
      <c r="I4" s="83"/>
      <c r="J4" s="83"/>
      <c r="K4" s="83"/>
      <c r="L4" s="83"/>
      <c r="M4" s="79"/>
      <c r="N4" s="80"/>
      <c r="O4" s="80"/>
      <c r="P4" s="80"/>
    </row>
    <row r="5" spans="1:16" ht="20.100000000000001" customHeight="1">
      <c r="A5" s="44" t="s">
        <v>3</v>
      </c>
      <c r="B5" s="82"/>
      <c r="C5" s="82"/>
      <c r="D5" s="82"/>
      <c r="E5" s="82"/>
      <c r="F5" s="82"/>
      <c r="G5" s="82"/>
      <c r="H5" s="79"/>
      <c r="I5" s="83"/>
      <c r="J5" s="83"/>
      <c r="K5" s="83"/>
      <c r="L5" s="83"/>
      <c r="M5" s="79"/>
      <c r="N5" s="80"/>
      <c r="O5" s="80"/>
      <c r="P5" s="80"/>
    </row>
    <row r="6" spans="1:16" ht="20.100000000000001" customHeight="1">
      <c r="A6" s="44" t="s">
        <v>4</v>
      </c>
      <c r="B6" s="82"/>
      <c r="C6" s="82"/>
      <c r="D6" s="82"/>
      <c r="E6" s="82"/>
      <c r="F6" s="82"/>
      <c r="G6" s="82"/>
      <c r="H6" s="79"/>
      <c r="I6" s="83"/>
      <c r="J6" s="83"/>
      <c r="K6" s="83"/>
      <c r="L6" s="83"/>
      <c r="M6" s="79"/>
      <c r="N6" s="80"/>
      <c r="O6" s="80"/>
      <c r="P6" s="80"/>
    </row>
    <row r="7" spans="1:16" s="42" customFormat="1" ht="21" customHeight="1">
      <c r="A7" s="42" t="s">
        <v>5</v>
      </c>
      <c r="B7" s="84"/>
      <c r="C7" s="84"/>
      <c r="D7" s="84"/>
      <c r="E7" s="84"/>
      <c r="F7" s="84"/>
      <c r="G7" s="84"/>
      <c r="H7" s="85"/>
      <c r="I7" s="86"/>
      <c r="J7" s="86"/>
      <c r="K7" s="86"/>
      <c r="L7" s="86"/>
      <c r="M7" s="85"/>
      <c r="N7" s="87"/>
      <c r="O7" s="87"/>
      <c r="P7" s="87"/>
    </row>
    <row r="8" spans="1:16" s="42" customFormat="1" ht="7.5" customHeight="1">
      <c r="B8" s="84"/>
      <c r="C8" s="84"/>
      <c r="D8" s="84"/>
      <c r="E8" s="84"/>
      <c r="F8" s="84"/>
      <c r="G8" s="84"/>
      <c r="H8" s="85"/>
      <c r="I8" s="86"/>
      <c r="J8" s="86"/>
      <c r="K8" s="86"/>
      <c r="L8" s="86"/>
      <c r="M8" s="85"/>
      <c r="N8" s="87"/>
      <c r="O8" s="87"/>
      <c r="P8" s="87"/>
    </row>
    <row r="9" spans="1:16" s="55" customFormat="1" ht="7.5" customHeight="1">
      <c r="B9" s="88"/>
      <c r="C9" s="88"/>
      <c r="D9" s="88"/>
      <c r="E9" s="88"/>
      <c r="F9" s="88"/>
      <c r="G9" s="88"/>
      <c r="H9" s="89"/>
      <c r="I9" s="90"/>
      <c r="J9" s="90"/>
      <c r="K9" s="90"/>
      <c r="L9" s="90"/>
      <c r="M9" s="89"/>
      <c r="N9" s="80"/>
      <c r="O9" s="80"/>
      <c r="P9" s="80"/>
    </row>
    <row r="10" spans="1:16" s="92" customFormat="1" ht="24.95" customHeight="1">
      <c r="A10" s="411" t="s">
        <v>6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12"/>
      <c r="L10" s="413"/>
      <c r="M10" s="91"/>
      <c r="N10" s="91"/>
      <c r="O10" s="91"/>
      <c r="P10" s="91"/>
    </row>
    <row r="11" spans="1:16" s="42" customFormat="1" ht="9.1999999999999993" customHeight="1">
      <c r="B11" s="84"/>
      <c r="C11" s="84"/>
      <c r="D11" s="84"/>
      <c r="E11" s="84"/>
      <c r="F11" s="84"/>
      <c r="G11" s="84"/>
      <c r="H11" s="85"/>
      <c r="I11" s="86"/>
      <c r="J11" s="86"/>
      <c r="K11" s="86"/>
      <c r="L11" s="86"/>
      <c r="M11" s="85"/>
      <c r="N11" s="87"/>
      <c r="O11" s="87"/>
      <c r="P11" s="87"/>
    </row>
    <row r="12" spans="1:16" s="42" customFormat="1" ht="20.100000000000001" customHeight="1">
      <c r="A12" s="93" t="s">
        <v>7</v>
      </c>
      <c r="B12" s="94"/>
      <c r="C12" s="94"/>
      <c r="D12" s="94"/>
      <c r="E12" s="94"/>
      <c r="F12" s="94"/>
      <c r="G12" s="94"/>
      <c r="H12" s="95"/>
      <c r="I12" s="96"/>
      <c r="J12" s="96"/>
      <c r="K12" s="96"/>
      <c r="L12" s="96"/>
      <c r="M12" s="85"/>
      <c r="N12" s="87"/>
      <c r="O12" s="87"/>
      <c r="P12" s="87"/>
    </row>
    <row r="13" spans="1:16" s="99" customFormat="1" ht="20.100000000000001" customHeight="1">
      <c r="A13" s="42" t="s">
        <v>8</v>
      </c>
      <c r="B13" s="94"/>
      <c r="C13" s="94"/>
      <c r="D13" s="94"/>
      <c r="E13" s="94"/>
      <c r="F13" s="94"/>
      <c r="G13" s="94"/>
      <c r="H13" s="95"/>
      <c r="I13" s="96"/>
      <c r="J13" s="96"/>
      <c r="K13" s="96"/>
      <c r="L13" s="96"/>
      <c r="M13" s="97"/>
      <c r="N13" s="98"/>
      <c r="O13" s="98"/>
      <c r="P13" s="98"/>
    </row>
    <row r="14" spans="1:16" s="99" customFormat="1" ht="8.25" customHeight="1">
      <c r="A14" s="100"/>
      <c r="B14" s="101"/>
      <c r="C14" s="101"/>
      <c r="D14" s="101"/>
      <c r="E14" s="101"/>
      <c r="F14" s="101"/>
      <c r="G14" s="101"/>
      <c r="H14" s="102"/>
      <c r="I14" s="103"/>
      <c r="J14" s="103"/>
      <c r="K14" s="103"/>
      <c r="L14" s="103"/>
      <c r="M14" s="97"/>
      <c r="N14" s="98"/>
      <c r="O14" s="98"/>
      <c r="P14" s="98"/>
    </row>
    <row r="15" spans="1:16" s="112" customFormat="1" ht="21">
      <c r="A15" s="104" t="s">
        <v>9</v>
      </c>
      <c r="B15" s="105"/>
      <c r="C15" s="105"/>
      <c r="D15" s="105"/>
      <c r="E15" s="106"/>
      <c r="F15" s="106"/>
      <c r="G15" s="106"/>
      <c r="H15" s="107"/>
      <c r="I15" s="108"/>
      <c r="J15" s="108"/>
      <c r="K15" s="108"/>
      <c r="L15" s="109"/>
      <c r="M15" s="110"/>
      <c r="N15" s="111"/>
      <c r="O15" s="111"/>
      <c r="P15" s="111"/>
    </row>
    <row r="16" spans="1:16" s="44" customFormat="1" ht="18.75">
      <c r="A16" s="113"/>
      <c r="B16" s="114" t="s">
        <v>10</v>
      </c>
      <c r="C16" s="100"/>
      <c r="D16" s="100"/>
      <c r="E16" s="101"/>
      <c r="F16" s="101"/>
      <c r="G16" s="101"/>
      <c r="H16" s="102"/>
      <c r="I16" s="103"/>
      <c r="J16" s="103"/>
      <c r="K16" s="103"/>
      <c r="L16" s="115"/>
      <c r="M16" s="85"/>
      <c r="N16" s="87"/>
      <c r="O16" s="87"/>
      <c r="P16" s="87"/>
    </row>
    <row r="17" spans="1:16" s="44" customFormat="1" ht="18.75">
      <c r="A17" s="116" t="s">
        <v>11</v>
      </c>
      <c r="B17" s="116"/>
      <c r="C17" s="117"/>
      <c r="D17" s="116"/>
      <c r="E17" s="118"/>
      <c r="F17" s="118"/>
      <c r="G17" s="118"/>
      <c r="H17" s="119"/>
      <c r="I17" s="120"/>
      <c r="J17" s="120"/>
      <c r="K17" s="120"/>
      <c r="L17" s="120"/>
      <c r="M17" s="85"/>
      <c r="N17" s="87"/>
      <c r="O17" s="87"/>
      <c r="P17" s="87"/>
    </row>
    <row r="18" spans="1:16" s="44" customFormat="1" ht="18.75">
      <c r="A18" s="121" t="s">
        <v>12</v>
      </c>
      <c r="B18" s="117"/>
      <c r="C18" s="117"/>
      <c r="D18" s="118"/>
      <c r="E18" s="118"/>
      <c r="F18" s="118"/>
      <c r="G18" s="118"/>
      <c r="H18" s="119"/>
      <c r="I18" s="120"/>
      <c r="J18" s="120"/>
      <c r="K18" s="120"/>
      <c r="L18" s="120"/>
      <c r="M18" s="85"/>
      <c r="N18" s="87"/>
      <c r="O18" s="87"/>
      <c r="P18" s="87"/>
    </row>
    <row r="19" spans="1:16" s="44" customFormat="1" ht="0.75" customHeight="1">
      <c r="A19" s="121"/>
      <c r="B19" s="117"/>
      <c r="C19" s="117"/>
      <c r="D19" s="118"/>
      <c r="E19" s="118"/>
      <c r="F19" s="118"/>
      <c r="G19" s="118"/>
      <c r="H19" s="119"/>
      <c r="I19" s="120"/>
      <c r="J19" s="120"/>
      <c r="K19" s="120"/>
      <c r="L19" s="120"/>
      <c r="M19" s="85"/>
      <c r="N19" s="87"/>
      <c r="O19" s="87"/>
      <c r="P19" s="87"/>
    </row>
    <row r="20" spans="1:16" s="44" customFormat="1" ht="18.75">
      <c r="A20" s="121" t="s">
        <v>13</v>
      </c>
      <c r="B20" s="117"/>
      <c r="C20" s="117"/>
      <c r="D20" s="118"/>
      <c r="E20" s="118"/>
      <c r="F20" s="118"/>
      <c r="G20" s="118"/>
      <c r="H20" s="119"/>
      <c r="I20" s="120"/>
      <c r="J20" s="120"/>
      <c r="K20" s="120"/>
      <c r="L20" s="120"/>
      <c r="M20" s="85"/>
      <c r="N20" s="87"/>
      <c r="O20" s="87"/>
      <c r="P20" s="87"/>
    </row>
    <row r="21" spans="1:16" s="44" customFormat="1" ht="6.75" customHeight="1">
      <c r="A21" s="116"/>
      <c r="B21" s="117"/>
      <c r="C21" s="117"/>
      <c r="D21" s="118"/>
      <c r="E21" s="118"/>
      <c r="F21" s="118"/>
      <c r="G21" s="118"/>
      <c r="H21" s="119"/>
      <c r="I21" s="120"/>
      <c r="J21" s="120"/>
      <c r="K21" s="120"/>
      <c r="L21" s="120"/>
      <c r="M21" s="85"/>
      <c r="N21" s="87"/>
      <c r="O21" s="87"/>
      <c r="P21" s="87"/>
    </row>
    <row r="22" spans="1:16" s="127" customFormat="1" ht="6.75" customHeight="1">
      <c r="A22" s="122"/>
      <c r="B22" s="123"/>
      <c r="C22" s="122"/>
      <c r="D22" s="124"/>
      <c r="E22" s="124"/>
      <c r="F22" s="124"/>
      <c r="G22" s="124"/>
      <c r="H22" s="125"/>
      <c r="I22" s="126"/>
      <c r="J22" s="126"/>
      <c r="K22" s="126"/>
      <c r="L22" s="126"/>
      <c r="M22" s="97"/>
      <c r="N22" s="98"/>
      <c r="O22" s="98"/>
      <c r="P22" s="98"/>
    </row>
    <row r="23" spans="1:16" s="129" customFormat="1" ht="21">
      <c r="A23" s="104" t="s">
        <v>14</v>
      </c>
      <c r="B23" s="105"/>
      <c r="C23" s="128"/>
      <c r="D23" s="105"/>
      <c r="E23" s="106"/>
      <c r="F23" s="106"/>
      <c r="G23" s="106"/>
      <c r="H23" s="107"/>
      <c r="I23" s="108"/>
      <c r="J23" s="108"/>
      <c r="K23" s="108"/>
      <c r="L23" s="109"/>
      <c r="M23" s="110"/>
      <c r="N23" s="111"/>
      <c r="O23" s="111"/>
      <c r="P23" s="111"/>
    </row>
    <row r="24" spans="1:16" s="44" customFormat="1" ht="18.75">
      <c r="A24" s="113" t="s">
        <v>15</v>
      </c>
      <c r="B24" s="114" t="s">
        <v>16</v>
      </c>
      <c r="C24" s="130"/>
      <c r="D24" s="100"/>
      <c r="E24" s="101"/>
      <c r="F24" s="101"/>
      <c r="G24" s="101"/>
      <c r="H24" s="102"/>
      <c r="I24" s="103"/>
      <c r="J24" s="103"/>
      <c r="K24" s="103"/>
      <c r="L24" s="115"/>
      <c r="M24" s="85"/>
      <c r="N24" s="87"/>
      <c r="O24" s="87"/>
      <c r="P24" s="87"/>
    </row>
    <row r="25" spans="1:16" s="44" customFormat="1" ht="18.75">
      <c r="A25" s="116" t="s">
        <v>11</v>
      </c>
      <c r="B25" s="116"/>
      <c r="C25" s="117"/>
      <c r="D25" s="116"/>
      <c r="E25" s="118"/>
      <c r="F25" s="118"/>
      <c r="G25" s="118"/>
      <c r="H25" s="119"/>
      <c r="I25" s="120"/>
      <c r="J25" s="120"/>
      <c r="K25" s="120"/>
      <c r="L25" s="120"/>
      <c r="M25" s="85"/>
      <c r="N25" s="87"/>
      <c r="O25" s="87"/>
      <c r="P25" s="87"/>
    </row>
    <row r="26" spans="1:16" s="44" customFormat="1" ht="18.75">
      <c r="A26" s="121" t="s">
        <v>17</v>
      </c>
      <c r="B26" s="117"/>
      <c r="C26" s="117"/>
      <c r="D26" s="118"/>
      <c r="E26" s="118"/>
      <c r="F26" s="118"/>
      <c r="G26" s="118"/>
      <c r="H26" s="119"/>
      <c r="I26" s="120"/>
      <c r="J26" s="120"/>
      <c r="K26" s="120"/>
      <c r="L26" s="120"/>
      <c r="M26" s="85"/>
      <c r="N26" s="87"/>
      <c r="O26" s="87"/>
      <c r="P26" s="87"/>
    </row>
    <row r="27" spans="1:16" s="44" customFormat="1" ht="6" customHeight="1">
      <c r="A27" s="121"/>
      <c r="B27" s="117"/>
      <c r="C27" s="117"/>
      <c r="D27" s="118"/>
      <c r="E27" s="118"/>
      <c r="F27" s="118"/>
      <c r="G27" s="118"/>
      <c r="H27" s="119"/>
      <c r="I27" s="118"/>
      <c r="J27" s="118"/>
      <c r="K27" s="118"/>
      <c r="L27" s="118"/>
      <c r="M27" s="85"/>
      <c r="N27" s="87"/>
      <c r="O27" s="87"/>
      <c r="P27" s="87"/>
    </row>
    <row r="28" spans="1:16" ht="6" customHeight="1">
      <c r="A28" s="55"/>
      <c r="B28" s="55"/>
      <c r="C28" s="55"/>
      <c r="D28" s="55"/>
      <c r="E28" s="55"/>
      <c r="F28" s="55"/>
      <c r="G28" s="55"/>
      <c r="H28" s="80"/>
      <c r="I28" s="55"/>
      <c r="J28" s="55"/>
      <c r="K28" s="55"/>
      <c r="L28" s="55"/>
    </row>
    <row r="29" spans="1:16" s="81" customFormat="1" ht="24.95" customHeight="1">
      <c r="A29" s="411" t="s">
        <v>18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3"/>
      <c r="M29" s="131"/>
      <c r="N29" s="131"/>
      <c r="O29" s="131"/>
      <c r="P29" s="131"/>
    </row>
    <row r="30" spans="1:16" s="44" customFormat="1" ht="18.75">
      <c r="A30" s="47"/>
      <c r="B30" s="47"/>
      <c r="C30" s="47"/>
      <c r="D30" s="47"/>
      <c r="E30" s="47"/>
      <c r="F30" s="47"/>
      <c r="G30" s="47"/>
      <c r="H30" s="75"/>
      <c r="I30" s="47"/>
      <c r="J30" s="47"/>
      <c r="K30" s="47"/>
      <c r="L30" s="47"/>
      <c r="M30" s="132"/>
      <c r="N30" s="132"/>
      <c r="O30" s="132"/>
      <c r="P30" s="132"/>
    </row>
    <row r="31" spans="1:16" s="44" customFormat="1" ht="24.95" customHeight="1">
      <c r="A31" s="451" t="s">
        <v>19</v>
      </c>
      <c r="B31" s="452"/>
      <c r="C31" s="453"/>
      <c r="D31" s="475" t="s">
        <v>20</v>
      </c>
      <c r="E31" s="455"/>
      <c r="F31" s="133"/>
      <c r="H31" s="132"/>
      <c r="M31" s="132"/>
      <c r="N31" s="132"/>
      <c r="O31" s="132"/>
      <c r="P31" s="132"/>
    </row>
    <row r="32" spans="1:16" s="44" customFormat="1" ht="24.95" customHeight="1">
      <c r="A32" s="451" t="s">
        <v>21</v>
      </c>
      <c r="B32" s="452"/>
      <c r="C32" s="453"/>
      <c r="D32" s="475" t="s">
        <v>22</v>
      </c>
      <c r="E32" s="455"/>
      <c r="F32" s="134"/>
      <c r="H32" s="132"/>
      <c r="M32" s="132"/>
      <c r="N32" s="132"/>
      <c r="O32" s="132"/>
      <c r="P32" s="132"/>
    </row>
    <row r="33" spans="1:17" s="44" customFormat="1" ht="24.95" customHeight="1">
      <c r="A33" s="451" t="s">
        <v>23</v>
      </c>
      <c r="B33" s="452"/>
      <c r="C33" s="453"/>
      <c r="D33" s="475" t="s">
        <v>24</v>
      </c>
      <c r="E33" s="455"/>
      <c r="F33" s="134"/>
      <c r="G33" s="134"/>
      <c r="H33" s="132"/>
      <c r="M33" s="132"/>
      <c r="N33" s="132"/>
      <c r="O33" s="132"/>
      <c r="P33" s="132"/>
    </row>
    <row r="34" spans="1:17" s="44" customFormat="1" ht="24.95" customHeight="1">
      <c r="A34" s="451" t="s">
        <v>25</v>
      </c>
      <c r="B34" s="452"/>
      <c r="C34" s="453"/>
      <c r="D34" s="454" t="s">
        <v>26</v>
      </c>
      <c r="E34" s="455"/>
      <c r="F34" s="134"/>
      <c r="G34" s="134"/>
      <c r="H34" s="132"/>
      <c r="M34" s="132"/>
      <c r="N34" s="132"/>
      <c r="O34" s="132"/>
      <c r="P34" s="132"/>
    </row>
    <row r="35" spans="1:17" s="44" customFormat="1" ht="24.95" customHeight="1" thickBot="1">
      <c r="A35" s="456" t="s">
        <v>27</v>
      </c>
      <c r="B35" s="457"/>
      <c r="C35" s="458"/>
      <c r="D35" s="459" t="s">
        <v>28</v>
      </c>
      <c r="E35" s="460"/>
      <c r="F35" s="134"/>
      <c r="G35" s="134"/>
      <c r="H35" s="132"/>
    </row>
    <row r="36" spans="1:17" ht="18.75">
      <c r="A36" s="135" t="s">
        <v>29</v>
      </c>
      <c r="B36" s="134"/>
      <c r="C36" s="134"/>
      <c r="D36" s="134"/>
      <c r="E36" s="44"/>
      <c r="F36" s="134"/>
      <c r="G36" s="134"/>
      <c r="H36" s="132"/>
      <c r="I36" s="132"/>
      <c r="J36" s="132"/>
      <c r="K36" s="132"/>
      <c r="L36" s="132"/>
      <c r="Q36" s="75"/>
    </row>
    <row r="37" spans="1:17" ht="16.5" thickBot="1">
      <c r="A37" s="136"/>
      <c r="B37" s="82"/>
      <c r="C37" s="82"/>
      <c r="D37" s="82"/>
      <c r="F37" s="82"/>
      <c r="G37" s="82"/>
      <c r="I37" s="396"/>
      <c r="J37" s="75"/>
      <c r="K37" s="75"/>
      <c r="L37" s="68"/>
      <c r="M37" s="68"/>
      <c r="N37" s="68"/>
      <c r="O37" s="68"/>
      <c r="P37" s="68"/>
      <c r="Q37" s="68"/>
    </row>
    <row r="38" spans="1:17" ht="20.100000000000001" customHeight="1" thickBot="1">
      <c r="A38" s="461" t="s">
        <v>30</v>
      </c>
      <c r="B38" s="462"/>
      <c r="C38" s="462"/>
      <c r="D38" s="462"/>
      <c r="E38" s="462"/>
      <c r="F38" s="462"/>
      <c r="G38" s="463"/>
      <c r="H38" s="89"/>
      <c r="I38" s="75"/>
      <c r="J38" s="75"/>
      <c r="K38" s="75"/>
      <c r="L38" s="68"/>
      <c r="M38" s="68"/>
      <c r="N38" s="68"/>
      <c r="O38" s="68"/>
      <c r="P38" s="68"/>
      <c r="Q38" s="68"/>
    </row>
    <row r="39" spans="1:17" s="44" customFormat="1" ht="45.2" customHeight="1">
      <c r="A39" s="464" t="s">
        <v>31</v>
      </c>
      <c r="B39" s="465"/>
      <c r="C39" s="465"/>
      <c r="D39" s="465"/>
      <c r="E39" s="466"/>
      <c r="F39" s="470" t="s">
        <v>32</v>
      </c>
      <c r="G39" s="471"/>
      <c r="H39" s="38">
        <f>VLOOKUP(F39,M39:N43,2)</f>
        <v>2</v>
      </c>
      <c r="I39" s="132"/>
      <c r="J39" s="132"/>
      <c r="K39" s="132"/>
      <c r="L39" s="66"/>
      <c r="M39" s="137" t="s">
        <v>33</v>
      </c>
      <c r="N39" s="66">
        <v>1</v>
      </c>
      <c r="O39" s="66"/>
      <c r="P39" s="66"/>
      <c r="Q39" s="66"/>
    </row>
    <row r="40" spans="1:17" s="44" customFormat="1" ht="49.5" customHeight="1" thickBot="1">
      <c r="A40" s="467"/>
      <c r="B40" s="468"/>
      <c r="C40" s="468"/>
      <c r="D40" s="468"/>
      <c r="E40" s="469"/>
      <c r="F40" s="39" t="s">
        <v>34</v>
      </c>
      <c r="G40" s="40">
        <f>IF(H39=1,N55,IF(H39=2,O55,P55))</f>
        <v>1477</v>
      </c>
      <c r="H40" s="472" t="s">
        <v>35</v>
      </c>
      <c r="I40" s="473"/>
      <c r="J40" s="473"/>
      <c r="K40" s="132"/>
      <c r="L40" s="66"/>
      <c r="M40" s="137" t="s">
        <v>32</v>
      </c>
      <c r="N40" s="66">
        <v>2</v>
      </c>
      <c r="O40" s="66"/>
      <c r="P40" s="66"/>
      <c r="Q40" s="66"/>
    </row>
    <row r="41" spans="1:17" s="44" customFormat="1" ht="45.2" customHeight="1" thickBot="1">
      <c r="A41" s="431" t="s">
        <v>36</v>
      </c>
      <c r="B41" s="432"/>
      <c r="C41" s="432"/>
      <c r="D41" s="432"/>
      <c r="E41" s="433"/>
      <c r="F41" s="434">
        <v>1477</v>
      </c>
      <c r="G41" s="435"/>
      <c r="H41" s="166"/>
      <c r="I41" s="132"/>
      <c r="J41" s="132"/>
      <c r="K41" s="132"/>
      <c r="L41" s="66"/>
      <c r="M41" s="139"/>
      <c r="N41" s="139">
        <v>1</v>
      </c>
      <c r="O41" s="139">
        <v>2</v>
      </c>
      <c r="P41" s="139">
        <v>3</v>
      </c>
      <c r="Q41" s="66"/>
    </row>
    <row r="42" spans="1:17" s="44" customFormat="1" ht="45.2" customHeight="1" thickBot="1">
      <c r="A42" s="436" t="s">
        <v>37</v>
      </c>
      <c r="B42" s="437"/>
      <c r="C42" s="437"/>
      <c r="D42" s="437"/>
      <c r="E42" s="438"/>
      <c r="F42" s="439">
        <f>IF(H39=1,N52*F41/N55,IF(H39=2,O52*F41/O55,P52*F41/P55))</f>
        <v>1470</v>
      </c>
      <c r="G42" s="440"/>
      <c r="H42" s="166"/>
      <c r="I42" s="132"/>
      <c r="J42" s="132"/>
      <c r="K42" s="132"/>
      <c r="L42" s="66"/>
      <c r="M42" s="140"/>
      <c r="N42" s="141" t="s">
        <v>38</v>
      </c>
      <c r="O42" s="141" t="s">
        <v>39</v>
      </c>
      <c r="P42" s="142" t="s">
        <v>40</v>
      </c>
      <c r="Q42" s="66"/>
    </row>
    <row r="43" spans="1:17" s="44" customFormat="1" ht="45.2" customHeight="1" thickBot="1">
      <c r="A43" s="41" t="s">
        <v>41</v>
      </c>
      <c r="B43" s="398"/>
      <c r="C43" s="398"/>
      <c r="D43" s="398"/>
      <c r="E43" s="399"/>
      <c r="F43" s="439">
        <f>7*F51</f>
        <v>7</v>
      </c>
      <c r="G43" s="440"/>
      <c r="H43" s="166"/>
      <c r="I43" s="132"/>
      <c r="J43" s="132"/>
      <c r="K43" s="132"/>
      <c r="L43" s="66"/>
      <c r="M43" s="137" t="s">
        <v>42</v>
      </c>
      <c r="N43" s="66">
        <v>3</v>
      </c>
      <c r="O43" s="66"/>
      <c r="P43" s="66"/>
      <c r="Q43" s="66"/>
    </row>
    <row r="44" spans="1:17" s="44" customFormat="1" ht="45.2" customHeight="1">
      <c r="A44" s="441" t="s">
        <v>43</v>
      </c>
      <c r="B44" s="442"/>
      <c r="C44" s="442"/>
      <c r="D44" s="443"/>
      <c r="E44" s="143" t="s">
        <v>44</v>
      </c>
      <c r="F44" s="447">
        <f>IF(H39=0,0,IF(H39=3,"",LOOKUP(H39,N41:P41,N46:P46)))</f>
        <v>51</v>
      </c>
      <c r="G44" s="448"/>
      <c r="H44" s="170"/>
      <c r="I44" s="132"/>
      <c r="J44" s="132"/>
      <c r="K44" s="132"/>
      <c r="L44" s="66"/>
      <c r="M44" s="140" t="s">
        <v>45</v>
      </c>
      <c r="N44" s="144">
        <v>365</v>
      </c>
      <c r="O44" s="144">
        <v>365</v>
      </c>
      <c r="P44" s="144">
        <v>365</v>
      </c>
      <c r="Q44" s="66"/>
    </row>
    <row r="45" spans="1:17" s="44" customFormat="1" ht="45.2" customHeight="1" thickBot="1">
      <c r="A45" s="444"/>
      <c r="B45" s="445"/>
      <c r="C45" s="445"/>
      <c r="D45" s="446"/>
      <c r="E45" s="145" t="s">
        <v>46</v>
      </c>
      <c r="F45" s="449"/>
      <c r="G45" s="450"/>
      <c r="H45" s="395" t="str">
        <f>IF(H39=3,"Merci de compléter la cellule orangée","")</f>
        <v/>
      </c>
      <c r="I45" s="132"/>
      <c r="J45" s="132"/>
      <c r="K45" s="132"/>
      <c r="L45" s="66"/>
      <c r="M45" s="146" t="s">
        <v>47</v>
      </c>
      <c r="N45" s="144">
        <v>52</v>
      </c>
      <c r="O45" s="144">
        <v>52</v>
      </c>
      <c r="P45" s="144">
        <v>52</v>
      </c>
      <c r="Q45" s="66"/>
    </row>
    <row r="46" spans="1:17" s="44" customFormat="1" ht="69.75" customHeight="1" thickBot="1">
      <c r="A46" s="414" t="s">
        <v>48</v>
      </c>
      <c r="B46" s="415"/>
      <c r="C46" s="415"/>
      <c r="D46" s="415"/>
      <c r="E46" s="416"/>
      <c r="F46" s="307"/>
      <c r="G46" s="147" t="s">
        <v>49</v>
      </c>
      <c r="H46" s="138">
        <f>(F50*5.83/151.67)*F46</f>
        <v>0</v>
      </c>
      <c r="I46" s="132"/>
      <c r="J46" s="132"/>
      <c r="K46" s="132"/>
      <c r="L46" s="66"/>
      <c r="M46" s="146" t="s">
        <v>50</v>
      </c>
      <c r="N46" s="144">
        <v>36</v>
      </c>
      <c r="O46" s="144">
        <v>51</v>
      </c>
      <c r="P46" s="148">
        <f>F45</f>
        <v>0</v>
      </c>
      <c r="Q46" s="66"/>
    </row>
    <row r="47" spans="1:17" s="44" customFormat="1" ht="45.2" customHeight="1" thickBot="1">
      <c r="A47" s="417" t="s">
        <v>51</v>
      </c>
      <c r="B47" s="418"/>
      <c r="C47" s="418"/>
      <c r="D47" s="418"/>
      <c r="E47" s="145"/>
      <c r="F47" s="419">
        <f>IF(H39=3,F46+F45,F46+F44)</f>
        <v>51</v>
      </c>
      <c r="G47" s="420"/>
      <c r="H47" s="138">
        <f>IF(H39=0,0,LOOKUP(H39,N41:P41,N56:P56)*100)</f>
        <v>23.222748815165879</v>
      </c>
      <c r="I47" s="132"/>
      <c r="J47" s="132"/>
      <c r="K47" s="132"/>
      <c r="L47" s="66"/>
      <c r="M47" s="146" t="s">
        <v>52</v>
      </c>
      <c r="N47" s="144">
        <v>10</v>
      </c>
      <c r="O47" s="144">
        <v>10</v>
      </c>
      <c r="P47" s="144">
        <v>10</v>
      </c>
      <c r="Q47" s="66"/>
    </row>
    <row r="48" spans="1:17" s="44" customFormat="1" ht="45.2" customHeight="1" thickBot="1">
      <c r="A48" s="421" t="s">
        <v>53</v>
      </c>
      <c r="B48" s="422"/>
      <c r="C48" s="422"/>
      <c r="D48" s="422"/>
      <c r="E48" s="423"/>
      <c r="F48" s="424">
        <f>F41-H46</f>
        <v>1477</v>
      </c>
      <c r="G48" s="425"/>
      <c r="H48" s="170"/>
      <c r="I48" s="132"/>
      <c r="J48" s="132"/>
      <c r="K48" s="132"/>
      <c r="L48" s="66"/>
      <c r="M48" s="146" t="s">
        <v>54</v>
      </c>
      <c r="N48" s="144">
        <f>N44-N45-N46-N47</f>
        <v>267</v>
      </c>
      <c r="O48" s="144">
        <f>O44-O45-O46-O47</f>
        <v>252</v>
      </c>
      <c r="P48" s="144">
        <f>P44-P45-P46-P47</f>
        <v>303</v>
      </c>
      <c r="Q48" s="66"/>
    </row>
    <row r="49" spans="1:17" s="44" customFormat="1" ht="41.45" customHeight="1" thickBot="1">
      <c r="A49" s="149" t="s">
        <v>55</v>
      </c>
      <c r="B49" s="150"/>
      <c r="C49" s="150"/>
      <c r="D49" s="150"/>
      <c r="E49" s="151"/>
      <c r="F49" s="426">
        <f>F41+(F41*H47/100)</f>
        <v>1820</v>
      </c>
      <c r="G49" s="427"/>
      <c r="H49" s="132"/>
      <c r="I49" s="132"/>
      <c r="J49" s="132"/>
      <c r="K49" s="132"/>
      <c r="L49" s="66"/>
      <c r="M49" s="146" t="s">
        <v>56</v>
      </c>
      <c r="N49" s="144">
        <v>6</v>
      </c>
      <c r="O49" s="144">
        <v>6</v>
      </c>
      <c r="P49" s="144">
        <v>6</v>
      </c>
      <c r="Q49" s="66"/>
    </row>
    <row r="50" spans="1:17" s="44" customFormat="1" ht="33.75" customHeight="1" thickBot="1">
      <c r="A50" s="152" t="s">
        <v>57</v>
      </c>
      <c r="B50" s="153"/>
      <c r="C50" s="153"/>
      <c r="D50" s="153"/>
      <c r="E50" s="154"/>
      <c r="F50" s="428">
        <f>F49/12</f>
        <v>151.66666666666666</v>
      </c>
      <c r="G50" s="429"/>
      <c r="H50" s="155" t="s">
        <v>58</v>
      </c>
      <c r="I50" s="156"/>
      <c r="J50" s="156"/>
      <c r="K50" s="156"/>
      <c r="L50" s="66"/>
      <c r="M50" s="146" t="s">
        <v>59</v>
      </c>
      <c r="N50" s="157">
        <f>N48/N49</f>
        <v>44.5</v>
      </c>
      <c r="O50" s="157">
        <f>O48/O49</f>
        <v>42</v>
      </c>
      <c r="P50" s="157">
        <f>P48/P49</f>
        <v>50.5</v>
      </c>
      <c r="Q50" s="66"/>
    </row>
    <row r="51" spans="1:17" s="44" customFormat="1" ht="19.5" customHeight="1" thickBot="1">
      <c r="A51" s="158" t="s">
        <v>60</v>
      </c>
      <c r="B51" s="398"/>
      <c r="C51" s="398"/>
      <c r="D51" s="398"/>
      <c r="E51" s="399"/>
      <c r="F51" s="430">
        <f>IF(H39=1,F41/1565,IF(H39=2,F41/1477,F41/P55))</f>
        <v>1</v>
      </c>
      <c r="G51" s="430"/>
      <c r="H51" s="138"/>
      <c r="I51" s="159"/>
      <c r="J51" s="159"/>
      <c r="K51" s="159"/>
      <c r="L51" s="66"/>
      <c r="M51" s="146" t="s">
        <v>61</v>
      </c>
      <c r="N51" s="144">
        <v>35</v>
      </c>
      <c r="O51" s="144">
        <v>35</v>
      </c>
      <c r="P51" s="144">
        <v>35</v>
      </c>
      <c r="Q51" s="66"/>
    </row>
    <row r="52" spans="1:17" ht="22.5" customHeight="1">
      <c r="B52" s="160"/>
      <c r="C52" s="160"/>
      <c r="D52" s="160"/>
      <c r="E52" s="160"/>
      <c r="H52" s="161"/>
      <c r="I52" s="68"/>
      <c r="J52" s="68"/>
      <c r="K52" s="66"/>
      <c r="L52" s="66"/>
      <c r="M52" s="162" t="s">
        <v>62</v>
      </c>
      <c r="N52" s="163">
        <f>ROUND(N50*N51,0)</f>
        <v>1558</v>
      </c>
      <c r="O52" s="163">
        <f>ROUND(O50*O51,0)</f>
        <v>1470</v>
      </c>
      <c r="P52" s="163" t="str">
        <f>IF(P46=0,"",ROUND(P50*P51,0))</f>
        <v/>
      </c>
      <c r="Q52" s="68"/>
    </row>
    <row r="53" spans="1:17" s="44" customFormat="1" ht="19.5" customHeight="1">
      <c r="A53" s="44" t="s">
        <v>63</v>
      </c>
      <c r="B53" s="164"/>
      <c r="C53" s="164"/>
      <c r="D53" s="164"/>
      <c r="E53" s="164"/>
      <c r="F53" s="165"/>
      <c r="G53" s="165"/>
      <c r="H53" s="166"/>
      <c r="J53" s="167"/>
      <c r="K53" s="168"/>
      <c r="L53" s="66"/>
      <c r="M53" s="146" t="s">
        <v>64</v>
      </c>
      <c r="N53" s="144">
        <v>7</v>
      </c>
      <c r="O53" s="144">
        <v>7</v>
      </c>
      <c r="P53" s="144">
        <v>7</v>
      </c>
      <c r="Q53" s="66"/>
    </row>
    <row r="54" spans="1:17" s="44" customFormat="1" ht="19.5" customHeight="1">
      <c r="A54" s="169" t="s">
        <v>65</v>
      </c>
      <c r="B54" s="164"/>
      <c r="C54" s="164"/>
      <c r="D54" s="164"/>
      <c r="E54" s="164"/>
      <c r="F54" s="165"/>
      <c r="G54" s="165"/>
      <c r="H54" s="166"/>
      <c r="J54" s="167"/>
      <c r="K54" s="168"/>
      <c r="L54" s="66"/>
      <c r="M54" s="146"/>
      <c r="N54" s="144"/>
      <c r="O54" s="144"/>
      <c r="P54" s="144"/>
      <c r="Q54" s="66"/>
    </row>
    <row r="55" spans="1:17" s="44" customFormat="1" ht="20.25" customHeight="1">
      <c r="F55" s="167"/>
      <c r="G55" s="167"/>
      <c r="H55" s="170"/>
      <c r="I55" s="134"/>
      <c r="L55" s="66"/>
      <c r="M55" s="162" t="s">
        <v>66</v>
      </c>
      <c r="N55" s="163">
        <f>N52+N53</f>
        <v>1565</v>
      </c>
      <c r="O55" s="163">
        <f>O52+O53</f>
        <v>1477</v>
      </c>
      <c r="P55" s="163" t="e">
        <f>P52+P53</f>
        <v>#VALUE!</v>
      </c>
      <c r="Q55" s="66"/>
    </row>
    <row r="56" spans="1:17" ht="21">
      <c r="A56" s="411" t="s">
        <v>67</v>
      </c>
      <c r="B56" s="412"/>
      <c r="C56" s="412"/>
      <c r="D56" s="412"/>
      <c r="E56" s="412"/>
      <c r="F56" s="412"/>
      <c r="G56" s="412"/>
      <c r="H56" s="412"/>
      <c r="I56" s="412"/>
      <c r="J56" s="412"/>
      <c r="K56" s="412"/>
      <c r="L56" s="413"/>
      <c r="M56" s="162" t="s">
        <v>68</v>
      </c>
      <c r="N56" s="171">
        <f>(1820-N55)/N55</f>
        <v>0.16293929712460065</v>
      </c>
      <c r="O56" s="171">
        <f>(1820-O55)/O55</f>
        <v>0.23222748815165878</v>
      </c>
      <c r="P56" s="171" t="e">
        <f>(1820-P55)/P55</f>
        <v>#VALUE!</v>
      </c>
    </row>
    <row r="57" spans="1:17" s="44" customFormat="1" ht="22.5" customHeight="1">
      <c r="A57" s="44" t="s">
        <v>69</v>
      </c>
      <c r="H57" s="132"/>
      <c r="M57" s="66"/>
      <c r="N57" s="66"/>
      <c r="O57" s="66"/>
      <c r="P57" s="66"/>
    </row>
    <row r="58" spans="1:17" ht="14.25" customHeight="1">
      <c r="A58" s="44" t="s">
        <v>70</v>
      </c>
      <c r="B58" s="44"/>
      <c r="C58" s="44"/>
      <c r="D58" s="44"/>
      <c r="E58" s="44"/>
      <c r="F58" s="44"/>
      <c r="G58" s="44"/>
      <c r="H58" s="132"/>
      <c r="I58" s="44"/>
      <c r="J58" s="44"/>
      <c r="K58" s="44"/>
      <c r="L58" s="44"/>
      <c r="M58" s="47"/>
      <c r="N58" s="47"/>
      <c r="O58" s="47"/>
      <c r="P58" s="47"/>
    </row>
    <row r="59" spans="1:17" ht="24.95" customHeight="1">
      <c r="A59" s="44" t="s">
        <v>71</v>
      </c>
      <c r="B59" s="44"/>
      <c r="C59" s="44"/>
      <c r="D59" s="44"/>
      <c r="E59" s="44"/>
      <c r="F59" s="44"/>
      <c r="G59" s="44"/>
      <c r="H59" s="132"/>
      <c r="I59" s="44"/>
      <c r="J59" s="44"/>
      <c r="K59" s="44"/>
      <c r="L59" s="44"/>
    </row>
    <row r="60" spans="1:17" ht="20.100000000000001" customHeight="1">
      <c r="A60" s="172" t="s">
        <v>72</v>
      </c>
      <c r="B60" s="45"/>
      <c r="C60" s="45"/>
      <c r="D60" s="45"/>
      <c r="E60" s="45"/>
      <c r="F60" s="45"/>
      <c r="G60" s="45"/>
      <c r="H60" s="173"/>
      <c r="I60" s="45"/>
      <c r="J60" s="46"/>
      <c r="K60" s="46"/>
    </row>
    <row r="61" spans="1:17" s="44" customFormat="1" ht="20.100000000000001" customHeight="1">
      <c r="A61" s="172" t="s">
        <v>73</v>
      </c>
      <c r="B61" s="45"/>
      <c r="C61" s="45"/>
      <c r="D61" s="45"/>
      <c r="E61" s="45"/>
      <c r="F61" s="45"/>
      <c r="G61" s="45"/>
      <c r="H61" s="173"/>
      <c r="I61" s="45"/>
      <c r="J61" s="46"/>
      <c r="K61" s="46"/>
      <c r="L61" s="47"/>
      <c r="M61" s="132"/>
      <c r="N61" s="132"/>
      <c r="O61" s="132"/>
      <c r="P61" s="132"/>
    </row>
    <row r="62" spans="1:17" s="44" customFormat="1" ht="20.100000000000001" customHeight="1">
      <c r="A62" s="174" t="s">
        <v>74</v>
      </c>
      <c r="B62" s="45"/>
      <c r="C62" s="45"/>
      <c r="D62" s="45"/>
      <c r="E62" s="45"/>
      <c r="F62" s="45"/>
      <c r="G62" s="45"/>
      <c r="H62" s="173"/>
      <c r="I62" s="45"/>
      <c r="J62" s="46"/>
      <c r="K62" s="46"/>
      <c r="L62" s="47"/>
      <c r="M62" s="132"/>
      <c r="N62" s="132"/>
      <c r="O62" s="132"/>
      <c r="P62" s="175"/>
    </row>
    <row r="63" spans="1:17" s="44" customFormat="1" ht="20.100000000000001" customHeight="1">
      <c r="A63" s="45"/>
      <c r="B63" s="45"/>
      <c r="C63" s="45"/>
      <c r="D63" s="45"/>
      <c r="E63" s="45"/>
      <c r="F63" s="45"/>
      <c r="G63" s="45"/>
      <c r="H63" s="173"/>
      <c r="I63" s="45"/>
      <c r="J63" s="46"/>
      <c r="K63" s="46"/>
      <c r="L63" s="47"/>
      <c r="M63" s="132"/>
      <c r="N63" s="132"/>
      <c r="O63" s="132"/>
      <c r="P63" s="132"/>
    </row>
    <row r="64" spans="1:17" s="44" customFormat="1" ht="20.100000000000001" customHeight="1">
      <c r="A64" s="176" t="s">
        <v>75</v>
      </c>
      <c r="G64" s="177"/>
      <c r="H64" s="178"/>
      <c r="I64" s="177" t="s">
        <v>76</v>
      </c>
      <c r="J64" s="179" t="s">
        <v>77</v>
      </c>
      <c r="K64" s="179" t="s">
        <v>78</v>
      </c>
      <c r="L64" s="67"/>
      <c r="M64" s="132"/>
      <c r="N64" s="132"/>
      <c r="O64" s="132"/>
      <c r="P64" s="175"/>
    </row>
    <row r="65" spans="1:20" s="44" customFormat="1" ht="20.100000000000001" customHeight="1">
      <c r="A65" s="44" t="s">
        <v>79</v>
      </c>
      <c r="H65" s="87"/>
      <c r="I65" s="42"/>
      <c r="J65" s="180">
        <v>30</v>
      </c>
      <c r="K65" s="181">
        <f>J65/60*100</f>
        <v>50</v>
      </c>
      <c r="L65" s="67"/>
      <c r="M65" s="132"/>
      <c r="N65" s="132"/>
      <c r="O65" s="132"/>
      <c r="P65" s="132"/>
    </row>
    <row r="66" spans="1:20" s="44" customFormat="1" ht="20.100000000000001" customHeight="1">
      <c r="M66" s="132"/>
      <c r="N66" s="132"/>
      <c r="O66" s="132"/>
      <c r="P66" s="132"/>
    </row>
    <row r="67" spans="1:20" s="44" customFormat="1" ht="21">
      <c r="A67" s="411" t="s">
        <v>80</v>
      </c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3"/>
      <c r="M67" s="132"/>
      <c r="N67" s="132"/>
      <c r="O67" s="132"/>
      <c r="P67" s="132"/>
    </row>
    <row r="68" spans="1:20" s="44" customFormat="1" ht="21">
      <c r="A68" s="43" t="s">
        <v>81</v>
      </c>
      <c r="B68" s="362"/>
      <c r="C68" s="362"/>
      <c r="D68" s="362"/>
      <c r="E68" s="362"/>
      <c r="F68" s="362"/>
      <c r="G68" s="362"/>
      <c r="H68" s="362"/>
      <c r="I68" s="362"/>
      <c r="J68" s="362"/>
      <c r="K68" s="362"/>
      <c r="L68" s="362"/>
      <c r="M68" s="132"/>
      <c r="N68" s="132"/>
      <c r="O68" s="132"/>
      <c r="P68" s="132"/>
    </row>
    <row r="69" spans="1:20" s="44" customFormat="1" ht="21">
      <c r="A69" s="169" t="s">
        <v>82</v>
      </c>
      <c r="B69" s="362"/>
      <c r="C69" s="362"/>
      <c r="D69" s="362"/>
      <c r="E69" s="362"/>
      <c r="F69" s="362"/>
      <c r="G69" s="362"/>
      <c r="H69" s="362"/>
      <c r="I69" s="362"/>
      <c r="J69" s="362"/>
      <c r="K69" s="362"/>
      <c r="L69" s="362"/>
      <c r="M69" s="132"/>
      <c r="N69" s="132"/>
      <c r="O69" s="132"/>
      <c r="P69" s="132"/>
    </row>
    <row r="70" spans="1:20" s="44" customFormat="1" ht="21">
      <c r="A70" s="397" t="s">
        <v>83</v>
      </c>
      <c r="B70" s="362"/>
      <c r="C70" s="362"/>
      <c r="D70" s="362"/>
      <c r="E70" s="362"/>
      <c r="F70" s="362"/>
      <c r="G70" s="362"/>
      <c r="H70" s="362"/>
      <c r="I70" s="362"/>
      <c r="J70" s="362"/>
      <c r="K70" s="362"/>
      <c r="L70" s="362"/>
      <c r="M70" s="132"/>
      <c r="N70" s="132"/>
      <c r="O70" s="132"/>
      <c r="P70" s="132"/>
    </row>
    <row r="71" spans="1:20" s="44" customFormat="1" ht="21">
      <c r="A71" s="397" t="s">
        <v>84</v>
      </c>
      <c r="B71" s="362"/>
      <c r="C71" s="362"/>
      <c r="D71" s="362"/>
      <c r="E71" s="362"/>
      <c r="F71" s="362"/>
      <c r="G71" s="362"/>
      <c r="H71" s="362"/>
      <c r="I71" s="362"/>
      <c r="J71" s="362"/>
      <c r="K71" s="362"/>
      <c r="L71" s="362"/>
      <c r="M71" s="132"/>
      <c r="N71" s="132"/>
      <c r="O71" s="132"/>
      <c r="P71" s="132"/>
    </row>
    <row r="72" spans="1:20" s="44" customFormat="1" ht="21">
      <c r="A72" s="44" t="s">
        <v>85</v>
      </c>
      <c r="B72" s="362"/>
      <c r="C72" s="362"/>
      <c r="D72" s="362"/>
      <c r="E72" s="362"/>
      <c r="F72" s="362"/>
      <c r="G72" s="362"/>
      <c r="H72" s="362"/>
      <c r="I72" s="362"/>
      <c r="J72" s="362"/>
      <c r="K72" s="362"/>
      <c r="L72" s="362"/>
      <c r="M72" s="132"/>
      <c r="N72" s="132"/>
      <c r="O72" s="132"/>
      <c r="P72" s="132"/>
    </row>
    <row r="73" spans="1:20" s="44" customFormat="1" ht="21">
      <c r="B73" s="362"/>
      <c r="C73" s="362"/>
      <c r="D73" s="362"/>
      <c r="E73" s="362"/>
      <c r="F73" s="362"/>
      <c r="G73" s="362"/>
      <c r="H73" s="362"/>
      <c r="I73" s="362"/>
      <c r="J73" s="362"/>
      <c r="K73" s="362"/>
      <c r="L73" s="362"/>
      <c r="M73" s="132"/>
      <c r="N73" s="132"/>
      <c r="O73" s="132"/>
      <c r="P73" s="132"/>
    </row>
    <row r="74" spans="1:20" s="44" customFormat="1" ht="20.100000000000001" customHeight="1">
      <c r="A74" s="43" t="s">
        <v>86</v>
      </c>
      <c r="M74" s="132"/>
      <c r="N74" s="132"/>
      <c r="O74" s="132"/>
      <c r="P74" s="132"/>
      <c r="Q74" s="66"/>
      <c r="R74" s="66"/>
      <c r="T74" s="67"/>
    </row>
    <row r="75" spans="1:20" s="44" customFormat="1" ht="20.100000000000001" customHeight="1">
      <c r="A75" s="44" t="s">
        <v>87</v>
      </c>
      <c r="M75" s="132"/>
      <c r="N75" s="132"/>
      <c r="O75" s="132"/>
      <c r="P75" s="132"/>
      <c r="Q75" s="66"/>
      <c r="R75" s="66"/>
      <c r="T75" s="67"/>
    </row>
    <row r="76" spans="1:20" s="44" customFormat="1" ht="12.75" customHeight="1">
      <c r="A76" s="44" t="s">
        <v>88</v>
      </c>
      <c r="H76" s="132"/>
      <c r="M76" s="87"/>
      <c r="N76" s="87"/>
      <c r="O76" s="132"/>
      <c r="P76" s="132"/>
    </row>
    <row r="77" spans="1:20" ht="20.25" customHeight="1">
      <c r="A77" s="67" t="s">
        <v>89</v>
      </c>
      <c r="B77" s="44"/>
      <c r="H77" s="47"/>
    </row>
    <row r="78" spans="1:20" ht="21" customHeight="1">
      <c r="A78" s="182" t="s">
        <v>90</v>
      </c>
      <c r="B78" s="44"/>
      <c r="C78" s="183"/>
      <c r="D78" s="183"/>
      <c r="E78" s="183"/>
      <c r="F78" s="183"/>
      <c r="G78" s="183"/>
      <c r="H78" s="184"/>
      <c r="I78" s="183"/>
      <c r="J78" s="183"/>
      <c r="K78" s="183"/>
      <c r="L78" s="42"/>
    </row>
    <row r="79" spans="1:20" ht="20.100000000000001" customHeight="1">
      <c r="A79" s="44"/>
      <c r="B79" s="44"/>
      <c r="C79" s="44"/>
      <c r="D79" s="44"/>
      <c r="E79" s="44"/>
      <c r="F79" s="44"/>
      <c r="G79" s="44"/>
      <c r="H79" s="132"/>
      <c r="I79" s="44"/>
      <c r="J79" s="44"/>
      <c r="K79" s="44"/>
      <c r="L79" s="44"/>
    </row>
    <row r="80" spans="1:20" ht="20.100000000000001" customHeight="1">
      <c r="A80" s="43" t="s">
        <v>91</v>
      </c>
      <c r="B80" s="44"/>
      <c r="C80" s="44"/>
      <c r="D80" s="44"/>
      <c r="E80" s="44"/>
      <c r="F80" s="44"/>
      <c r="G80" s="44"/>
      <c r="H80" s="132"/>
      <c r="I80" s="44"/>
      <c r="J80" s="44"/>
      <c r="K80" s="44"/>
      <c r="L80" s="44"/>
    </row>
    <row r="81" spans="1:12" ht="20.100000000000001" customHeight="1">
      <c r="A81" s="44" t="s">
        <v>92</v>
      </c>
      <c r="B81" s="44"/>
      <c r="C81" s="44"/>
      <c r="D81" s="44"/>
      <c r="E81" s="44"/>
      <c r="F81" s="44"/>
      <c r="G81" s="44"/>
      <c r="H81" s="132"/>
      <c r="I81" s="44"/>
      <c r="J81" s="44"/>
      <c r="K81" s="44"/>
      <c r="L81" s="44"/>
    </row>
    <row r="82" spans="1:12" ht="20.100000000000001" customHeight="1">
      <c r="A82" s="44"/>
      <c r="B82" s="44"/>
      <c r="C82" s="44"/>
      <c r="D82" s="44"/>
      <c r="E82" s="44"/>
      <c r="F82" s="44"/>
      <c r="G82" s="44"/>
      <c r="H82" s="132"/>
      <c r="I82" s="44"/>
      <c r="J82" s="44"/>
      <c r="K82" s="44"/>
      <c r="L82" s="44"/>
    </row>
    <row r="83" spans="1:12" ht="20.100000000000001" customHeight="1">
      <c r="A83" s="411" t="s">
        <v>93</v>
      </c>
      <c r="B83" s="412"/>
      <c r="C83" s="412"/>
      <c r="D83" s="412"/>
      <c r="E83" s="412"/>
      <c r="F83" s="412"/>
      <c r="G83" s="412"/>
      <c r="H83" s="412"/>
      <c r="I83" s="412"/>
      <c r="J83" s="412"/>
      <c r="K83" s="412"/>
      <c r="L83" s="413"/>
    </row>
    <row r="84" spans="1:12" ht="20.100000000000001" customHeight="1">
      <c r="A84" s="400" t="s">
        <v>94</v>
      </c>
      <c r="C84" s="44"/>
      <c r="D84" s="44"/>
      <c r="E84" s="44"/>
      <c r="F84" s="44"/>
      <c r="G84" s="44"/>
      <c r="H84" s="132"/>
      <c r="I84" s="44"/>
      <c r="J84" s="44"/>
      <c r="K84" s="44"/>
      <c r="L84" s="44"/>
    </row>
    <row r="85" spans="1:12" ht="20.100000000000001" customHeight="1">
      <c r="A85" s="400" t="s">
        <v>95</v>
      </c>
      <c r="C85" s="44"/>
      <c r="D85" s="44"/>
      <c r="E85" s="44"/>
      <c r="F85" s="44"/>
      <c r="G85" s="44"/>
      <c r="H85" s="132"/>
      <c r="I85" s="44"/>
      <c r="J85" s="44"/>
      <c r="K85" s="44"/>
      <c r="L85" s="44"/>
    </row>
    <row r="86" spans="1:12" ht="11.25" customHeight="1">
      <c r="A86" s="45"/>
      <c r="C86" s="44"/>
      <c r="D86" s="44"/>
      <c r="E86" s="44"/>
      <c r="F86" s="44"/>
      <c r="G86" s="44"/>
      <c r="H86" s="132"/>
      <c r="I86" s="44"/>
      <c r="J86" s="44"/>
      <c r="K86" s="44"/>
      <c r="L86" s="44"/>
    </row>
    <row r="87" spans="1:12" ht="30" customHeight="1">
      <c r="A87" s="48" t="s">
        <v>96</v>
      </c>
      <c r="B87" s="44"/>
      <c r="C87" s="44"/>
      <c r="D87" s="44"/>
      <c r="E87" s="44"/>
      <c r="F87" s="44"/>
      <c r="G87" s="44"/>
      <c r="H87" s="132"/>
      <c r="I87" s="44"/>
      <c r="J87" s="44"/>
      <c r="K87" s="44"/>
      <c r="L87" s="44"/>
    </row>
    <row r="88" spans="1:12" ht="24.95" customHeight="1">
      <c r="A88" s="48" t="s">
        <v>97</v>
      </c>
      <c r="H88" s="47"/>
    </row>
    <row r="89" spans="1:12" ht="12" customHeight="1">
      <c r="A89" s="45"/>
      <c r="B89" s="45"/>
      <c r="C89" s="45"/>
      <c r="D89" s="45"/>
      <c r="E89" s="45"/>
      <c r="F89" s="45"/>
      <c r="G89" s="45"/>
      <c r="H89" s="173"/>
      <c r="I89" s="45"/>
      <c r="J89" s="46"/>
      <c r="K89" s="46"/>
    </row>
    <row r="90" spans="1:12" ht="20.100000000000001" customHeight="1">
      <c r="A90" s="400"/>
      <c r="B90" s="45"/>
      <c r="C90" s="45"/>
      <c r="D90" s="45"/>
      <c r="E90" s="45"/>
      <c r="F90" s="45"/>
      <c r="G90" s="45"/>
      <c r="H90" s="173"/>
      <c r="I90" s="45"/>
      <c r="J90" s="46"/>
      <c r="K90" s="46"/>
    </row>
    <row r="91" spans="1:12" ht="20.100000000000001" customHeight="1">
      <c r="A91" s="400"/>
      <c r="B91" s="45"/>
      <c r="C91" s="45"/>
      <c r="D91" s="45"/>
      <c r="E91" s="45"/>
      <c r="F91" s="45"/>
      <c r="G91" s="45"/>
      <c r="H91" s="173"/>
      <c r="I91" s="45"/>
      <c r="J91" s="46"/>
      <c r="K91" s="46"/>
    </row>
    <row r="92" spans="1:12" ht="9.75" customHeight="1">
      <c r="A92" s="45"/>
      <c r="B92" s="45"/>
      <c r="C92" s="45"/>
      <c r="D92" s="45"/>
      <c r="E92" s="45"/>
      <c r="F92" s="45"/>
      <c r="G92" s="45"/>
      <c r="H92" s="173"/>
      <c r="I92" s="45"/>
      <c r="J92" s="46"/>
      <c r="K92" s="46"/>
    </row>
    <row r="93" spans="1:12" ht="20.100000000000001" customHeight="1">
      <c r="A93" s="48"/>
      <c r="B93" s="44"/>
      <c r="C93" s="44"/>
      <c r="D93" s="44"/>
      <c r="E93" s="44"/>
      <c r="F93" s="44"/>
      <c r="G93" s="44"/>
      <c r="H93" s="132"/>
      <c r="I93" s="44"/>
      <c r="J93" s="44"/>
      <c r="K93" s="44"/>
      <c r="L93" s="44"/>
    </row>
  </sheetData>
  <sheetProtection sheet="1" formatCells="0" formatColumns="0" formatRows="0" insertHyperlinks="0" pivotTables="0"/>
  <protectedRanges>
    <protectedRange sqref="F39 F41 F45:F46" name="Plage3"/>
    <protectedRange sqref="D31:E35" name="Plage2"/>
    <protectedRange sqref="J65" name="Plage1"/>
  </protectedRanges>
  <mergeCells count="36">
    <mergeCell ref="H40:J40"/>
    <mergeCell ref="A1:L1"/>
    <mergeCell ref="A10:L10"/>
    <mergeCell ref="A29:L29"/>
    <mergeCell ref="A31:C31"/>
    <mergeCell ref="D31:E31"/>
    <mergeCell ref="A32:C32"/>
    <mergeCell ref="D32:E32"/>
    <mergeCell ref="A33:C33"/>
    <mergeCell ref="D33:E33"/>
    <mergeCell ref="A44:D45"/>
    <mergeCell ref="F44:G44"/>
    <mergeCell ref="F45:G45"/>
    <mergeCell ref="A34:C34"/>
    <mergeCell ref="D34:E34"/>
    <mergeCell ref="A35:C35"/>
    <mergeCell ref="D35:E35"/>
    <mergeCell ref="A38:G38"/>
    <mergeCell ref="A39:E40"/>
    <mergeCell ref="F39:G39"/>
    <mergeCell ref="A41:E41"/>
    <mergeCell ref="F41:G41"/>
    <mergeCell ref="A42:E42"/>
    <mergeCell ref="F42:G42"/>
    <mergeCell ref="F43:G43"/>
    <mergeCell ref="A83:L83"/>
    <mergeCell ref="A48:E48"/>
    <mergeCell ref="F48:G48"/>
    <mergeCell ref="F49:G49"/>
    <mergeCell ref="F50:G50"/>
    <mergeCell ref="F51:G51"/>
    <mergeCell ref="A56:L56"/>
    <mergeCell ref="A46:E46"/>
    <mergeCell ref="A47:D47"/>
    <mergeCell ref="F47:G47"/>
    <mergeCell ref="A67:L67"/>
  </mergeCells>
  <conditionalFormatting sqref="F50:G50">
    <cfRule type="cellIs" dxfId="40" priority="2" stopIfTrue="1" operator="greaterThan">
      <formula>151.67</formula>
    </cfRule>
    <cfRule type="cellIs" dxfId="39" priority="4" stopIfTrue="1" operator="greaterThan">
      <formula>"151.67"</formula>
    </cfRule>
  </conditionalFormatting>
  <conditionalFormatting sqref="F51:G51">
    <cfRule type="cellIs" dxfId="38" priority="1" stopIfTrue="1" operator="greaterThan">
      <formula>1.0006</formula>
    </cfRule>
    <cfRule type="cellIs" dxfId="37" priority="3" stopIfTrue="1" operator="greaterThan">
      <formula>"100.00%"</formula>
    </cfRule>
  </conditionalFormatting>
  <dataValidations count="1">
    <dataValidation type="list" allowBlank="1" showInputMessage="1" showErrorMessage="1" sqref="F39:G39" xr:uid="{7FE1468E-79E6-4715-BDC4-ADFCEB4FD714}">
      <formula1>$M$39:$M$43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503A-217C-4347-BFFB-9DD667572696}">
  <sheetPr codeName="Feuil1"/>
  <dimension ref="A2:N52"/>
  <sheetViews>
    <sheetView workbookViewId="0">
      <selection activeCell="F11" sqref="F11"/>
    </sheetView>
  </sheetViews>
  <sheetFormatPr defaultColWidth="11.42578125" defaultRowHeight="15"/>
  <cols>
    <col min="1" max="1" width="8" style="1" customWidth="1"/>
    <col min="2" max="2" width="11.42578125" style="1"/>
    <col min="3" max="3" width="9.42578125" style="1" customWidth="1"/>
    <col min="4" max="4" width="8.7109375" style="1" customWidth="1"/>
    <col min="5" max="5" width="9.42578125" style="1" customWidth="1"/>
    <col min="6" max="6" width="9.7109375" style="1" customWidth="1"/>
    <col min="7" max="7" width="6.7109375" style="1" customWidth="1"/>
    <col min="8" max="8" width="9.5703125" style="1" customWidth="1"/>
    <col min="9" max="9" width="9" style="1" customWidth="1"/>
    <col min="10" max="10" width="6.42578125" style="1" customWidth="1"/>
    <col min="11" max="11" width="9.28515625" style="1" customWidth="1"/>
    <col min="12" max="12" width="11.140625" style="1" customWidth="1"/>
    <col min="13" max="16384" width="11.42578125" style="1"/>
  </cols>
  <sheetData>
    <row r="2" spans="1:14" ht="9.1999999999999993" customHeight="1" thickBot="1"/>
    <row r="3" spans="1:14" s="14" customFormat="1" ht="17.25" thickBot="1">
      <c r="B3" s="476" t="s">
        <v>98</v>
      </c>
      <c r="C3" s="477"/>
      <c r="D3" s="16" t="s">
        <v>99</v>
      </c>
      <c r="E3" s="16" t="s">
        <v>100</v>
      </c>
      <c r="F3" s="16" t="s">
        <v>101</v>
      </c>
      <c r="H3" s="17"/>
      <c r="I3" s="18"/>
      <c r="J3" s="19"/>
      <c r="K3" s="20"/>
      <c r="L3" s="21"/>
      <c r="M3" s="22"/>
      <c r="N3" s="23"/>
    </row>
    <row r="4" spans="1:14" ht="16.5">
      <c r="A4" s="15">
        <v>1</v>
      </c>
      <c r="B4" s="13" t="s">
        <v>102</v>
      </c>
      <c r="D4" s="24">
        <v>36</v>
      </c>
      <c r="E4" s="15">
        <v>1565</v>
      </c>
      <c r="F4" s="24">
        <v>6</v>
      </c>
      <c r="G4" s="15">
        <v>1</v>
      </c>
      <c r="H4" s="13"/>
      <c r="I4" s="25"/>
      <c r="J4" s="26"/>
      <c r="K4" s="27"/>
      <c r="L4" s="28"/>
      <c r="M4" s="29"/>
      <c r="N4" s="30"/>
    </row>
    <row r="5" spans="1:14" ht="16.5">
      <c r="A5" s="15">
        <v>2</v>
      </c>
      <c r="B5" s="13" t="s">
        <v>103</v>
      </c>
      <c r="D5" s="24">
        <v>51</v>
      </c>
      <c r="E5" s="15">
        <v>1477</v>
      </c>
      <c r="F5" s="24">
        <v>8.5</v>
      </c>
      <c r="G5" s="15">
        <v>2</v>
      </c>
      <c r="H5" s="13"/>
      <c r="I5" s="25"/>
      <c r="J5" s="26"/>
      <c r="K5" s="27"/>
      <c r="L5" s="28"/>
      <c r="M5" s="29"/>
      <c r="N5" s="30"/>
    </row>
    <row r="6" spans="1:14" ht="16.5">
      <c r="A6" s="15"/>
      <c r="B6" s="13"/>
      <c r="D6" s="24"/>
    </row>
    <row r="7" spans="1:14" ht="17.25" thickBot="1">
      <c r="C7" s="15">
        <v>1</v>
      </c>
      <c r="D7" s="15">
        <v>2</v>
      </c>
    </row>
    <row r="8" spans="1:14" ht="17.25" thickBot="1">
      <c r="A8" s="478" t="s">
        <v>104</v>
      </c>
      <c r="B8" s="479"/>
      <c r="C8" s="31" t="s">
        <v>105</v>
      </c>
      <c r="D8" s="32" t="s">
        <v>106</v>
      </c>
    </row>
    <row r="9" spans="1:14">
      <c r="A9" s="33">
        <v>0</v>
      </c>
      <c r="B9" s="34">
        <v>0</v>
      </c>
      <c r="C9" s="6">
        <f>(1820-1565)/1565*100</f>
        <v>16.293929712460063</v>
      </c>
      <c r="D9" s="7">
        <f>(1820-1477)/1477*100</f>
        <v>23.222748815165879</v>
      </c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2">
        <v>1</v>
      </c>
      <c r="B10" s="35">
        <v>0</v>
      </c>
      <c r="C10" s="6">
        <v>16.3</v>
      </c>
      <c r="D10" s="7">
        <v>23.22</v>
      </c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2">
        <v>2</v>
      </c>
      <c r="B11" s="35">
        <v>0</v>
      </c>
      <c r="C11" s="6">
        <v>16.3</v>
      </c>
      <c r="D11" s="7">
        <v>23.22</v>
      </c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8" customHeight="1">
      <c r="A12" s="2">
        <v>3</v>
      </c>
      <c r="B12" s="35">
        <v>0</v>
      </c>
      <c r="C12" s="6">
        <v>16.3</v>
      </c>
      <c r="D12" s="7">
        <v>23.22</v>
      </c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s="9" customFormat="1" ht="10.5" customHeight="1">
      <c r="A13" s="2">
        <v>4</v>
      </c>
      <c r="B13" s="35">
        <v>0</v>
      </c>
      <c r="C13" s="6">
        <v>16.3</v>
      </c>
      <c r="D13" s="7">
        <v>23.22</v>
      </c>
    </row>
    <row r="14" spans="1:14" s="9" customFormat="1" ht="11.25" customHeight="1">
      <c r="A14" s="2">
        <v>5</v>
      </c>
      <c r="B14" s="35">
        <v>0</v>
      </c>
      <c r="C14" s="6">
        <v>16.3</v>
      </c>
      <c r="D14" s="7">
        <v>23.22</v>
      </c>
    </row>
    <row r="15" spans="1:14" s="9" customFormat="1" ht="11.25" customHeight="1">
      <c r="A15" s="2">
        <v>6</v>
      </c>
      <c r="B15" s="35">
        <v>0</v>
      </c>
      <c r="C15" s="6">
        <v>16.3</v>
      </c>
      <c r="D15" s="7">
        <v>23.22</v>
      </c>
    </row>
    <row r="16" spans="1:14" s="9" customFormat="1" ht="11.25" customHeight="1">
      <c r="A16" s="2">
        <v>7</v>
      </c>
      <c r="B16" s="35">
        <v>0</v>
      </c>
      <c r="C16" s="6">
        <v>16.3</v>
      </c>
      <c r="D16" s="7">
        <v>23.22</v>
      </c>
    </row>
    <row r="17" spans="1:4" s="9" customFormat="1" ht="11.25" customHeight="1">
      <c r="A17" s="2">
        <v>8</v>
      </c>
      <c r="B17" s="35">
        <v>0</v>
      </c>
      <c r="C17" s="6">
        <v>16.3</v>
      </c>
      <c r="D17" s="7">
        <v>23.22</v>
      </c>
    </row>
    <row r="18" spans="1:4" s="9" customFormat="1" ht="11.25" customHeight="1" thickBot="1">
      <c r="A18" s="3">
        <v>9</v>
      </c>
      <c r="B18" s="36">
        <v>0</v>
      </c>
      <c r="C18" s="6">
        <v>16.3</v>
      </c>
      <c r="D18" s="7">
        <v>23.22</v>
      </c>
    </row>
    <row r="19" spans="1:4" s="9" customFormat="1" ht="11.25" customHeight="1">
      <c r="A19" s="33">
        <v>10</v>
      </c>
      <c r="B19" s="37">
        <v>1</v>
      </c>
      <c r="C19" s="6">
        <v>16.8</v>
      </c>
      <c r="D19" s="7">
        <v>23.8</v>
      </c>
    </row>
    <row r="20" spans="1:4" s="9" customFormat="1" ht="11.25" customHeight="1">
      <c r="A20" s="2">
        <v>11</v>
      </c>
      <c r="B20" s="37">
        <v>1</v>
      </c>
      <c r="C20" s="6">
        <v>16.8</v>
      </c>
      <c r="D20" s="7">
        <v>23.8</v>
      </c>
    </row>
    <row r="21" spans="1:4" s="9" customFormat="1" ht="11.25" customHeight="1">
      <c r="A21" s="2">
        <v>12</v>
      </c>
      <c r="B21" s="37">
        <v>1</v>
      </c>
      <c r="C21" s="6">
        <v>16.8</v>
      </c>
      <c r="D21" s="7">
        <v>23.8</v>
      </c>
    </row>
    <row r="22" spans="1:4" s="9" customFormat="1" ht="11.25" customHeight="1">
      <c r="A22" s="2">
        <v>13</v>
      </c>
      <c r="B22" s="37">
        <v>1</v>
      </c>
      <c r="C22" s="6">
        <v>16.8</v>
      </c>
      <c r="D22" s="7">
        <v>23.8</v>
      </c>
    </row>
    <row r="23" spans="1:4" s="9" customFormat="1" ht="11.25" customHeight="1">
      <c r="A23" s="2">
        <v>14</v>
      </c>
      <c r="B23" s="37">
        <v>1</v>
      </c>
      <c r="C23" s="6">
        <v>16.8</v>
      </c>
      <c r="D23" s="7">
        <v>23.8</v>
      </c>
    </row>
    <row r="24" spans="1:4" s="9" customFormat="1" ht="11.25" customHeight="1">
      <c r="A24" s="2">
        <v>15</v>
      </c>
      <c r="B24" s="37">
        <v>1</v>
      </c>
      <c r="C24" s="6">
        <v>16.8</v>
      </c>
      <c r="D24" s="7">
        <v>23.8</v>
      </c>
    </row>
    <row r="25" spans="1:4" s="9" customFormat="1" ht="11.25" customHeight="1">
      <c r="A25" s="2">
        <v>16</v>
      </c>
      <c r="B25" s="37">
        <v>1</v>
      </c>
      <c r="C25" s="6">
        <v>16.8</v>
      </c>
      <c r="D25" s="7">
        <v>23.8</v>
      </c>
    </row>
    <row r="26" spans="1:4" s="9" customFormat="1" ht="11.25" customHeight="1">
      <c r="A26" s="2">
        <v>17</v>
      </c>
      <c r="B26" s="37">
        <v>1</v>
      </c>
      <c r="C26" s="6">
        <v>16.8</v>
      </c>
      <c r="D26" s="7">
        <v>23.8</v>
      </c>
    </row>
    <row r="27" spans="1:4" s="9" customFormat="1" ht="11.25" customHeight="1">
      <c r="A27" s="2">
        <v>18</v>
      </c>
      <c r="B27" s="37">
        <v>1</v>
      </c>
      <c r="C27" s="6">
        <v>16.8</v>
      </c>
      <c r="D27" s="7">
        <v>23.8</v>
      </c>
    </row>
    <row r="28" spans="1:4" s="9" customFormat="1" ht="11.25" customHeight="1" thickBot="1">
      <c r="A28" s="3">
        <v>19</v>
      </c>
      <c r="B28" s="37">
        <v>1</v>
      </c>
      <c r="C28" s="6">
        <v>16.8</v>
      </c>
      <c r="D28" s="7">
        <v>23.8</v>
      </c>
    </row>
    <row r="29" spans="1:4" s="9" customFormat="1" ht="11.25" customHeight="1" thickBot="1">
      <c r="A29" s="33">
        <v>20</v>
      </c>
      <c r="B29" s="4">
        <v>2</v>
      </c>
      <c r="C29" s="6">
        <v>17.34</v>
      </c>
      <c r="D29" s="7">
        <v>24.4</v>
      </c>
    </row>
    <row r="30" spans="1:4" s="9" customFormat="1" ht="11.25" customHeight="1" thickBot="1">
      <c r="A30" s="2">
        <v>21</v>
      </c>
      <c r="B30" s="4">
        <v>2</v>
      </c>
      <c r="C30" s="6">
        <v>17.34</v>
      </c>
      <c r="D30" s="7">
        <v>24.4</v>
      </c>
    </row>
    <row r="31" spans="1:4" s="9" customFormat="1" ht="11.25" customHeight="1" thickBot="1">
      <c r="A31" s="2">
        <v>22</v>
      </c>
      <c r="B31" s="4">
        <v>2</v>
      </c>
      <c r="C31" s="6">
        <v>17.34</v>
      </c>
      <c r="D31" s="7">
        <v>24.4</v>
      </c>
    </row>
    <row r="32" spans="1:4" s="9" customFormat="1" ht="11.25" customHeight="1" thickBot="1">
      <c r="A32" s="2">
        <v>23</v>
      </c>
      <c r="B32" s="4">
        <v>2</v>
      </c>
      <c r="C32" s="6">
        <v>17.34</v>
      </c>
      <c r="D32" s="7">
        <v>24.4</v>
      </c>
    </row>
    <row r="33" spans="1:4" s="9" customFormat="1" ht="11.25" customHeight="1" thickBot="1">
      <c r="A33" s="2">
        <v>24</v>
      </c>
      <c r="B33" s="4">
        <v>2</v>
      </c>
      <c r="C33" s="6">
        <v>17.34</v>
      </c>
      <c r="D33" s="7">
        <v>24.4</v>
      </c>
    </row>
    <row r="34" spans="1:4" s="9" customFormat="1" ht="11.25" customHeight="1" thickBot="1">
      <c r="A34" s="2">
        <v>25</v>
      </c>
      <c r="B34" s="4">
        <v>2</v>
      </c>
      <c r="C34" s="6">
        <v>17.34</v>
      </c>
      <c r="D34" s="7">
        <v>24.4</v>
      </c>
    </row>
    <row r="35" spans="1:4" s="9" customFormat="1" ht="11.25" customHeight="1" thickBot="1">
      <c r="A35" s="2">
        <v>26</v>
      </c>
      <c r="B35" s="4">
        <v>2</v>
      </c>
      <c r="C35" s="6">
        <v>17.34</v>
      </c>
      <c r="D35" s="7">
        <v>24.4</v>
      </c>
    </row>
    <row r="36" spans="1:4" s="9" customFormat="1" ht="11.25" customHeight="1" thickBot="1">
      <c r="A36" s="2">
        <v>27</v>
      </c>
      <c r="B36" s="4">
        <v>2</v>
      </c>
      <c r="C36" s="6">
        <v>17.34</v>
      </c>
      <c r="D36" s="7">
        <v>24.4</v>
      </c>
    </row>
    <row r="37" spans="1:4" s="9" customFormat="1" ht="11.25" customHeight="1" thickBot="1">
      <c r="A37" s="2">
        <v>28</v>
      </c>
      <c r="B37" s="4">
        <v>2</v>
      </c>
      <c r="C37" s="6">
        <v>17.34</v>
      </c>
      <c r="D37" s="7">
        <v>24.4</v>
      </c>
    </row>
    <row r="38" spans="1:4" s="9" customFormat="1" ht="11.25" customHeight="1" thickBot="1">
      <c r="A38" s="3">
        <v>29</v>
      </c>
      <c r="B38" s="4">
        <v>2</v>
      </c>
      <c r="C38" s="6">
        <v>17.34</v>
      </c>
      <c r="D38" s="7">
        <v>24.4</v>
      </c>
    </row>
    <row r="39" spans="1:4" s="9" customFormat="1" ht="11.25" customHeight="1" thickBot="1">
      <c r="A39" s="33">
        <v>30</v>
      </c>
      <c r="B39" s="4">
        <v>3</v>
      </c>
      <c r="C39" s="6">
        <v>17.75</v>
      </c>
      <c r="D39" s="7">
        <v>24.99</v>
      </c>
    </row>
    <row r="40" spans="1:4" s="9" customFormat="1" ht="11.25" customHeight="1" thickBot="1">
      <c r="A40" s="2">
        <v>31</v>
      </c>
      <c r="B40" s="4">
        <v>3</v>
      </c>
      <c r="C40" s="6">
        <v>17.75</v>
      </c>
      <c r="D40" s="7">
        <v>24.99</v>
      </c>
    </row>
    <row r="41" spans="1:4" s="9" customFormat="1" ht="11.25" customHeight="1" thickBot="1">
      <c r="A41" s="2">
        <v>32</v>
      </c>
      <c r="B41" s="4">
        <v>3</v>
      </c>
      <c r="C41" s="6">
        <v>17.75</v>
      </c>
      <c r="D41" s="7">
        <v>24.99</v>
      </c>
    </row>
    <row r="42" spans="1:4" s="9" customFormat="1" ht="11.25" customHeight="1" thickBot="1">
      <c r="A42" s="2">
        <v>33</v>
      </c>
      <c r="B42" s="4">
        <v>3</v>
      </c>
      <c r="C42" s="6">
        <v>17.75</v>
      </c>
      <c r="D42" s="7">
        <v>24.99</v>
      </c>
    </row>
    <row r="43" spans="1:4" s="9" customFormat="1" ht="11.25" customHeight="1" thickBot="1">
      <c r="A43" s="2">
        <v>34</v>
      </c>
      <c r="B43" s="4">
        <v>3</v>
      </c>
      <c r="C43" s="6">
        <v>17.75</v>
      </c>
      <c r="D43" s="7">
        <v>24.99</v>
      </c>
    </row>
    <row r="44" spans="1:4" s="9" customFormat="1" ht="11.25" customHeight="1" thickBot="1">
      <c r="A44" s="2">
        <v>35</v>
      </c>
      <c r="B44" s="4">
        <v>3</v>
      </c>
      <c r="C44" s="6">
        <v>17.75</v>
      </c>
      <c r="D44" s="7">
        <v>24.99</v>
      </c>
    </row>
    <row r="45" spans="1:4" s="9" customFormat="1" ht="11.25" customHeight="1" thickBot="1">
      <c r="A45" s="2">
        <v>36</v>
      </c>
      <c r="B45" s="4">
        <v>3</v>
      </c>
      <c r="C45" s="6">
        <v>17.75</v>
      </c>
      <c r="D45" s="7">
        <v>24.99</v>
      </c>
    </row>
    <row r="46" spans="1:4" s="9" customFormat="1" ht="11.25" customHeight="1" thickBot="1">
      <c r="A46" s="2">
        <v>37</v>
      </c>
      <c r="B46" s="4">
        <v>3</v>
      </c>
      <c r="C46" s="6">
        <v>17.75</v>
      </c>
      <c r="D46" s="7">
        <v>24.99</v>
      </c>
    </row>
    <row r="47" spans="1:4" s="9" customFormat="1" ht="11.25" customHeight="1" thickBot="1">
      <c r="A47" s="2">
        <v>38</v>
      </c>
      <c r="B47" s="4">
        <v>3</v>
      </c>
      <c r="C47" s="6">
        <v>17.75</v>
      </c>
      <c r="D47" s="7">
        <v>24.99</v>
      </c>
    </row>
    <row r="48" spans="1:4" s="9" customFormat="1" ht="11.25" customHeight="1" thickBot="1">
      <c r="A48" s="3">
        <v>39</v>
      </c>
      <c r="B48" s="5">
        <v>3</v>
      </c>
      <c r="C48" s="10">
        <v>17.75</v>
      </c>
      <c r="D48" s="11">
        <v>24.99</v>
      </c>
    </row>
    <row r="49" spans="1:14" s="9" customFormat="1" ht="11.25" customHeight="1" thickBo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9" customFormat="1" ht="11.25" customHeight="1" thickBot="1">
      <c r="A50" s="2"/>
      <c r="B50" s="4"/>
      <c r="C50" s="6"/>
      <c r="D50" s="7"/>
      <c r="E50" s="7"/>
      <c r="F50" s="7"/>
      <c r="G50" s="7"/>
      <c r="H50" s="8"/>
    </row>
    <row r="51" spans="1:14" s="9" customFormat="1" ht="11.25" customHeight="1" thickBot="1">
      <c r="A51" s="2"/>
      <c r="B51" s="4"/>
      <c r="C51" s="6"/>
      <c r="D51" s="7"/>
      <c r="E51" s="7"/>
      <c r="F51" s="7"/>
      <c r="G51" s="7"/>
      <c r="H51" s="8"/>
    </row>
    <row r="52" spans="1:14" s="9" customFormat="1" ht="11.25" customHeight="1" thickBot="1">
      <c r="A52" s="3"/>
      <c r="B52" s="5"/>
      <c r="C52" s="10"/>
      <c r="D52" s="11"/>
      <c r="E52" s="11"/>
      <c r="F52" s="11"/>
      <c r="G52" s="11"/>
      <c r="H52" s="12"/>
    </row>
  </sheetData>
  <mergeCells count="2">
    <mergeCell ref="B3:C3"/>
    <mergeCell ref="A8:B8"/>
  </mergeCells>
  <phoneticPr fontId="11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CD435-0D5D-4C7E-980D-CF51CEB70F74}">
  <sheetPr>
    <tabColor rgb="FFFFFF00"/>
    <pageSetUpPr fitToPage="1"/>
  </sheetPr>
  <dimension ref="A1:S46"/>
  <sheetViews>
    <sheetView topLeftCell="A13" workbookViewId="0">
      <selection activeCell="E23" sqref="E23"/>
    </sheetView>
  </sheetViews>
  <sheetFormatPr defaultColWidth="11.42578125" defaultRowHeight="12.75"/>
  <cols>
    <col min="1" max="16384" width="11.42578125" style="52"/>
  </cols>
  <sheetData>
    <row r="1" spans="1:19" ht="18.7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9" s="42" customFormat="1" ht="23.25">
      <c r="A2" s="53" t="s">
        <v>107</v>
      </c>
      <c r="B2" s="54"/>
      <c r="H2" s="51"/>
      <c r="I2" s="51"/>
      <c r="J2" s="51"/>
      <c r="K2" s="51"/>
      <c r="L2" s="51"/>
      <c r="M2" s="55"/>
      <c r="N2" s="56"/>
      <c r="O2" s="56"/>
      <c r="P2" s="38"/>
      <c r="Q2" s="38"/>
      <c r="S2" s="51"/>
    </row>
    <row r="3" spans="1:19" s="42" customFormat="1" ht="20.100000000000001" customHeight="1">
      <c r="B3" s="54"/>
      <c r="H3" s="51"/>
      <c r="I3" s="51"/>
      <c r="J3" s="51"/>
      <c r="K3" s="51"/>
      <c r="L3" s="51"/>
      <c r="M3" s="55"/>
      <c r="N3" s="56"/>
      <c r="O3" s="56"/>
      <c r="P3" s="38"/>
      <c r="Q3" s="38"/>
      <c r="S3" s="51"/>
    </row>
    <row r="4" spans="1:19" s="42" customFormat="1" ht="20.100000000000001" customHeight="1">
      <c r="A4" s="57" t="s">
        <v>108</v>
      </c>
      <c r="B4" s="58"/>
      <c r="C4" s="59"/>
      <c r="D4" s="59"/>
      <c r="E4" s="59"/>
      <c r="F4" s="59"/>
      <c r="G4" s="59"/>
      <c r="H4" s="60"/>
      <c r="I4" s="60"/>
      <c r="J4" s="60"/>
      <c r="K4" s="60"/>
      <c r="L4" s="60"/>
      <c r="M4" s="61"/>
      <c r="N4" s="62"/>
      <c r="O4" s="62"/>
      <c r="P4" s="38"/>
      <c r="Q4" s="38"/>
      <c r="S4" s="51"/>
    </row>
    <row r="5" spans="1:19" s="42" customFormat="1" ht="20.100000000000001" customHeight="1">
      <c r="A5" s="366" t="s">
        <v>109</v>
      </c>
      <c r="B5" s="50"/>
      <c r="H5" s="51"/>
      <c r="I5" s="51"/>
      <c r="J5" s="51"/>
      <c r="K5" s="51"/>
      <c r="L5" s="51"/>
      <c r="M5" s="55"/>
      <c r="N5" s="56"/>
      <c r="O5" s="56"/>
      <c r="P5" s="38"/>
      <c r="Q5" s="38"/>
      <c r="S5" s="51"/>
    </row>
    <row r="6" spans="1:19" s="42" customFormat="1" ht="20.100000000000001" customHeight="1">
      <c r="A6" s="366" t="s">
        <v>110</v>
      </c>
      <c r="B6" s="50"/>
      <c r="H6" s="51"/>
      <c r="I6" s="51"/>
      <c r="J6" s="51"/>
      <c r="K6" s="51"/>
      <c r="L6" s="51"/>
      <c r="M6" s="55"/>
      <c r="N6" s="56"/>
      <c r="O6" s="56"/>
      <c r="P6" s="38"/>
      <c r="Q6" s="38"/>
      <c r="S6" s="51"/>
    </row>
    <row r="7" spans="1:19" s="42" customFormat="1" ht="20.100000000000001" customHeight="1">
      <c r="A7" s="401" t="s">
        <v>111</v>
      </c>
      <c r="B7" s="50"/>
      <c r="H7" s="51"/>
      <c r="I7" s="51"/>
      <c r="J7" s="51"/>
      <c r="K7" s="51"/>
      <c r="L7" s="51"/>
      <c r="M7" s="55"/>
      <c r="N7" s="56"/>
      <c r="O7" s="56"/>
      <c r="P7" s="38"/>
      <c r="Q7" s="38"/>
      <c r="S7" s="51"/>
    </row>
    <row r="8" spans="1:19" s="42" customFormat="1" ht="20.100000000000001" customHeight="1">
      <c r="A8" s="401" t="s">
        <v>112</v>
      </c>
      <c r="B8" s="50"/>
      <c r="H8" s="51"/>
      <c r="I8" s="51"/>
      <c r="J8" s="51"/>
      <c r="K8" s="51"/>
      <c r="L8" s="51"/>
      <c r="M8" s="55"/>
      <c r="N8" s="56"/>
      <c r="O8" s="56"/>
      <c r="P8" s="38"/>
      <c r="Q8" s="38"/>
      <c r="S8" s="51"/>
    </row>
    <row r="9" spans="1:19" s="42" customFormat="1" ht="20.100000000000001" customHeight="1">
      <c r="A9" s="366" t="s">
        <v>113</v>
      </c>
      <c r="B9" s="50"/>
      <c r="H9" s="51"/>
      <c r="I9" s="51"/>
      <c r="J9" s="51"/>
      <c r="K9" s="51"/>
      <c r="L9" s="51"/>
      <c r="M9" s="55"/>
      <c r="N9" s="56"/>
      <c r="O9" s="56"/>
      <c r="P9" s="38"/>
      <c r="Q9" s="38"/>
      <c r="S9" s="51"/>
    </row>
    <row r="10" spans="1:19" s="42" customFormat="1" ht="20.100000000000001" customHeight="1">
      <c r="A10" s="49"/>
      <c r="B10" s="50"/>
      <c r="H10" s="51"/>
      <c r="I10" s="51"/>
      <c r="J10" s="51"/>
      <c r="K10" s="51"/>
      <c r="L10" s="51"/>
      <c r="M10" s="55"/>
      <c r="N10" s="56"/>
      <c r="O10" s="56"/>
      <c r="P10" s="38"/>
      <c r="Q10" s="38"/>
      <c r="S10" s="51"/>
    </row>
    <row r="11" spans="1:19" s="42" customFormat="1" ht="20.100000000000001" customHeight="1">
      <c r="A11" s="57" t="s">
        <v>114</v>
      </c>
      <c r="B11" s="63"/>
      <c r="C11" s="59"/>
      <c r="D11" s="59"/>
      <c r="E11" s="59"/>
      <c r="F11" s="59"/>
      <c r="G11" s="59"/>
      <c r="H11" s="60"/>
      <c r="I11" s="60"/>
      <c r="J11" s="60"/>
      <c r="K11" s="60"/>
      <c r="L11" s="60"/>
      <c r="M11" s="61"/>
      <c r="N11" s="62"/>
      <c r="O11" s="62"/>
      <c r="P11" s="38"/>
      <c r="Q11" s="38"/>
      <c r="S11" s="51"/>
    </row>
    <row r="12" spans="1:19" s="42" customFormat="1" ht="20.100000000000001" customHeight="1">
      <c r="A12" s="367" t="s">
        <v>115</v>
      </c>
      <c r="B12" s="50"/>
      <c r="H12" s="51"/>
      <c r="I12" s="51"/>
      <c r="J12" s="51"/>
      <c r="K12" s="51"/>
      <c r="L12" s="51"/>
      <c r="M12" s="55"/>
      <c r="N12" s="56"/>
      <c r="O12" s="56"/>
      <c r="P12" s="38"/>
      <c r="Q12" s="38"/>
      <c r="S12" s="51"/>
    </row>
    <row r="13" spans="1:19" s="42" customFormat="1" ht="20.100000000000001" customHeight="1">
      <c r="A13" s="367" t="s">
        <v>116</v>
      </c>
      <c r="B13" s="50"/>
      <c r="H13" s="51"/>
      <c r="I13" s="51"/>
      <c r="J13" s="51"/>
      <c r="K13" s="51"/>
      <c r="L13" s="51"/>
      <c r="M13" s="55"/>
      <c r="N13" s="56"/>
      <c r="O13" s="56"/>
      <c r="P13" s="38"/>
      <c r="Q13" s="38"/>
      <c r="S13" s="51"/>
    </row>
    <row r="14" spans="1:19" s="42" customFormat="1" ht="60.75" customHeight="1">
      <c r="A14" s="480" t="s">
        <v>117</v>
      </c>
      <c r="B14" s="480"/>
      <c r="C14" s="480"/>
      <c r="D14" s="480"/>
      <c r="E14" s="480"/>
      <c r="F14" s="480"/>
      <c r="G14" s="480"/>
      <c r="H14" s="480"/>
      <c r="I14" s="480"/>
      <c r="J14" s="480"/>
      <c r="K14" s="480"/>
      <c r="L14" s="480"/>
      <c r="M14" s="480"/>
      <c r="N14" s="56"/>
      <c r="O14" s="56"/>
      <c r="P14" s="38"/>
      <c r="Q14" s="38"/>
      <c r="S14" s="51"/>
    </row>
    <row r="15" spans="1:19" s="42" customFormat="1" ht="60" customHeight="1">
      <c r="A15" s="481" t="s">
        <v>118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56"/>
      <c r="O15" s="56"/>
      <c r="P15" s="38"/>
      <c r="Q15" s="38"/>
      <c r="S15" s="51"/>
    </row>
    <row r="16" spans="1:19" s="42" customFormat="1" ht="20.100000000000001" customHeight="1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56"/>
      <c r="O16" s="56"/>
      <c r="P16" s="38"/>
      <c r="Q16" s="38"/>
      <c r="S16" s="51"/>
    </row>
    <row r="17" spans="1:19" s="42" customFormat="1" ht="20.100000000000001" customHeight="1">
      <c r="A17" s="64" t="s">
        <v>119</v>
      </c>
      <c r="B17" s="63"/>
      <c r="C17" s="59"/>
      <c r="D17" s="59"/>
      <c r="E17" s="59"/>
      <c r="F17" s="59"/>
      <c r="G17" s="59"/>
      <c r="H17" s="60"/>
      <c r="I17" s="60"/>
      <c r="J17" s="60"/>
      <c r="K17" s="60"/>
      <c r="L17" s="60"/>
      <c r="M17" s="61"/>
      <c r="N17" s="62"/>
      <c r="O17" s="62"/>
      <c r="P17" s="38"/>
      <c r="Q17" s="38"/>
      <c r="S17" s="51"/>
    </row>
    <row r="18" spans="1:19" s="42" customFormat="1" ht="20.100000000000001" customHeight="1">
      <c r="A18" s="367" t="s">
        <v>120</v>
      </c>
      <c r="B18" s="50"/>
      <c r="H18" s="51"/>
      <c r="I18" s="51"/>
      <c r="J18" s="51"/>
      <c r="K18" s="51"/>
      <c r="L18" s="51"/>
      <c r="M18" s="55"/>
      <c r="N18" s="56"/>
      <c r="O18" s="56"/>
      <c r="P18" s="38"/>
      <c r="Q18" s="38"/>
      <c r="S18" s="51"/>
    </row>
    <row r="19" spans="1:19" s="42" customFormat="1" ht="20.100000000000001" customHeight="1">
      <c r="A19" s="366" t="s">
        <v>121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6"/>
      <c r="O19" s="56"/>
      <c r="P19" s="38"/>
      <c r="Q19" s="38"/>
      <c r="S19" s="51"/>
    </row>
    <row r="20" spans="1:19" s="44" customFormat="1" ht="20.100000000000001" customHeight="1">
      <c r="A20" s="401" t="s">
        <v>122</v>
      </c>
      <c r="B20" s="50"/>
      <c r="C20" s="42"/>
      <c r="D20" s="42"/>
      <c r="E20" s="42"/>
      <c r="F20" s="42"/>
      <c r="G20" s="42"/>
      <c r="H20" s="51"/>
      <c r="I20" s="51"/>
      <c r="J20" s="51"/>
      <c r="K20" s="51"/>
      <c r="L20" s="51"/>
      <c r="M20" s="49"/>
      <c r="N20" s="56"/>
      <c r="O20" s="56"/>
      <c r="P20" s="66"/>
      <c r="Q20" s="66"/>
      <c r="S20" s="67"/>
    </row>
    <row r="21" spans="1:19" s="47" customFormat="1" ht="20.100000000000001" customHeight="1">
      <c r="A21" s="401" t="s">
        <v>123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9"/>
      <c r="N21" s="56"/>
      <c r="O21" s="56"/>
      <c r="P21" s="68"/>
      <c r="Q21" s="68"/>
      <c r="S21" s="69"/>
    </row>
    <row r="22" spans="1:19" s="42" customFormat="1" ht="20.100000000000001" customHeight="1">
      <c r="A22" s="367" t="s">
        <v>124</v>
      </c>
      <c r="M22" s="49"/>
      <c r="N22" s="56"/>
      <c r="O22" s="56"/>
      <c r="P22" s="38"/>
      <c r="Q22" s="38"/>
      <c r="S22" s="51"/>
    </row>
    <row r="23" spans="1:19" s="44" customFormat="1" ht="20.100000000000001" customHeight="1">
      <c r="A23" s="366" t="s">
        <v>125</v>
      </c>
      <c r="B23" s="50"/>
      <c r="C23" s="42"/>
      <c r="D23" s="42"/>
      <c r="E23" s="42"/>
      <c r="F23" s="42"/>
      <c r="G23" s="42"/>
      <c r="H23" s="51"/>
      <c r="I23" s="51"/>
      <c r="J23" s="51"/>
      <c r="K23" s="51"/>
      <c r="L23" s="51"/>
      <c r="M23" s="49"/>
      <c r="N23" s="56"/>
      <c r="O23" s="56"/>
      <c r="P23" s="66"/>
      <c r="Q23" s="66"/>
      <c r="S23" s="67"/>
    </row>
    <row r="24" spans="1:19" s="44" customFormat="1" ht="20.100000000000001" customHeight="1">
      <c r="A24" s="401" t="s">
        <v>126</v>
      </c>
      <c r="B24" s="70"/>
      <c r="C24" s="70"/>
      <c r="D24" s="70"/>
      <c r="E24" s="70"/>
      <c r="F24" s="70"/>
      <c r="G24" s="70"/>
      <c r="H24" s="70"/>
      <c r="I24" s="70"/>
      <c r="J24" s="51"/>
      <c r="K24" s="51"/>
      <c r="L24" s="51"/>
      <c r="M24" s="49"/>
      <c r="N24" s="56"/>
      <c r="O24" s="56"/>
      <c r="P24" s="66"/>
      <c r="Q24" s="66"/>
      <c r="S24" s="67"/>
    </row>
    <row r="25" spans="1:19" s="44" customFormat="1" ht="20.100000000000001" customHeight="1">
      <c r="A25" s="482" t="s">
        <v>127</v>
      </c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  <c r="O25" s="56"/>
      <c r="P25" s="66"/>
      <c r="Q25" s="66"/>
      <c r="S25" s="67"/>
    </row>
    <row r="26" spans="1:19" s="44" customFormat="1" ht="43.5" customHeight="1">
      <c r="A26" s="483" t="s">
        <v>128</v>
      </c>
      <c r="B26" s="483"/>
      <c r="C26" s="483"/>
      <c r="D26" s="483"/>
      <c r="E26" s="483"/>
      <c r="F26" s="483"/>
      <c r="G26" s="483"/>
      <c r="H26" s="483"/>
      <c r="I26" s="483"/>
      <c r="J26" s="483"/>
      <c r="K26" s="483"/>
      <c r="L26" s="483"/>
      <c r="M26" s="483"/>
      <c r="N26" s="483"/>
      <c r="O26" s="56"/>
      <c r="P26" s="66"/>
      <c r="Q26" s="66"/>
      <c r="S26" s="67"/>
    </row>
    <row r="27" spans="1:19" s="44" customFormat="1" ht="20.100000000000001" customHeight="1">
      <c r="A27" s="394" t="s">
        <v>129</v>
      </c>
      <c r="B27" s="71"/>
      <c r="C27" s="71"/>
      <c r="D27" s="71"/>
      <c r="E27" s="71"/>
      <c r="F27" s="71"/>
      <c r="G27" s="71"/>
      <c r="H27" s="71"/>
      <c r="I27" s="71"/>
      <c r="J27" s="51"/>
      <c r="K27" s="51"/>
      <c r="L27" s="51"/>
      <c r="M27" s="49"/>
      <c r="N27" s="56"/>
      <c r="O27" s="56"/>
      <c r="P27" s="66"/>
      <c r="Q27" s="66"/>
      <c r="S27" s="67"/>
    </row>
    <row r="28" spans="1:19" s="44" customFormat="1" ht="20.100000000000001" customHeight="1">
      <c r="A28" s="394"/>
      <c r="B28" s="71"/>
      <c r="C28" s="71"/>
      <c r="D28" s="71"/>
      <c r="E28" s="71"/>
      <c r="F28" s="71"/>
      <c r="G28" s="71"/>
      <c r="H28" s="71"/>
      <c r="I28" s="71"/>
      <c r="J28" s="51"/>
      <c r="K28" s="51"/>
      <c r="L28" s="51"/>
      <c r="M28" s="49"/>
      <c r="N28" s="56"/>
      <c r="O28" s="56"/>
      <c r="P28" s="66"/>
      <c r="Q28" s="66"/>
      <c r="S28" s="67"/>
    </row>
    <row r="29" spans="1:19" s="44" customFormat="1" ht="20.100000000000001" customHeight="1">
      <c r="A29" s="72" t="s">
        <v>130</v>
      </c>
      <c r="B29" s="72"/>
      <c r="C29" s="72"/>
      <c r="D29" s="72"/>
      <c r="E29" s="72"/>
      <c r="F29" s="72"/>
      <c r="G29" s="72"/>
      <c r="H29" s="72"/>
      <c r="I29" s="72"/>
      <c r="J29" s="72"/>
      <c r="K29" s="60"/>
      <c r="L29" s="60"/>
      <c r="M29" s="73"/>
      <c r="N29" s="62"/>
      <c r="O29" s="62"/>
      <c r="P29" s="66"/>
      <c r="Q29" s="66"/>
      <c r="S29" s="67"/>
    </row>
    <row r="30" spans="1:19" s="44" customFormat="1" ht="20.100000000000001" customHeight="1">
      <c r="A30" s="366" t="s">
        <v>131</v>
      </c>
      <c r="B30" s="74"/>
      <c r="C30" s="74"/>
      <c r="D30" s="74"/>
      <c r="E30" s="74"/>
      <c r="F30" s="74"/>
      <c r="G30" s="74"/>
      <c r="H30" s="74"/>
      <c r="I30" s="74"/>
      <c r="J30" s="74"/>
      <c r="K30" s="51"/>
      <c r="L30" s="51"/>
      <c r="M30" s="49"/>
      <c r="N30" s="56"/>
      <c r="O30" s="56"/>
      <c r="P30" s="66"/>
      <c r="Q30" s="66"/>
      <c r="S30" s="67"/>
    </row>
    <row r="31" spans="1:19" s="44" customFormat="1" ht="20.100000000000001" customHeight="1">
      <c r="A31" s="366" t="s">
        <v>132</v>
      </c>
      <c r="B31" s="74"/>
      <c r="C31" s="74"/>
      <c r="D31" s="74"/>
      <c r="E31" s="74"/>
      <c r="F31" s="74"/>
      <c r="G31" s="74"/>
      <c r="H31" s="74"/>
      <c r="I31" s="74"/>
      <c r="J31" s="74"/>
      <c r="K31" s="51"/>
      <c r="L31" s="51"/>
      <c r="M31" s="49"/>
      <c r="N31" s="56"/>
      <c r="O31" s="56"/>
      <c r="P31" s="66"/>
      <c r="Q31" s="66"/>
      <c r="S31" s="67"/>
    </row>
    <row r="32" spans="1:19" s="44" customFormat="1" ht="20.100000000000001" customHeight="1">
      <c r="A32" s="366" t="s">
        <v>133</v>
      </c>
      <c r="B32" s="65"/>
      <c r="C32" s="74"/>
      <c r="D32" s="74"/>
      <c r="E32" s="74"/>
      <c r="F32" s="74"/>
      <c r="G32" s="74"/>
      <c r="H32" s="74"/>
      <c r="I32" s="74"/>
      <c r="J32" s="74"/>
      <c r="K32" s="51"/>
      <c r="L32" s="51"/>
      <c r="M32" s="49"/>
      <c r="N32" s="56"/>
      <c r="O32" s="56"/>
      <c r="P32" s="66"/>
      <c r="Q32" s="66"/>
      <c r="S32" s="67"/>
    </row>
    <row r="33" spans="1:19" s="44" customFormat="1" ht="20.100000000000001" customHeight="1">
      <c r="A33" s="366"/>
      <c r="B33" s="65"/>
      <c r="C33" s="74"/>
      <c r="D33" s="74"/>
      <c r="E33" s="74"/>
      <c r="F33" s="74"/>
      <c r="G33" s="74"/>
      <c r="H33" s="74"/>
      <c r="I33" s="74"/>
      <c r="J33" s="74"/>
      <c r="K33" s="51"/>
      <c r="L33" s="51"/>
      <c r="M33" s="49"/>
      <c r="N33" s="56"/>
      <c r="O33" s="56"/>
      <c r="P33" s="66"/>
      <c r="Q33" s="66"/>
      <c r="S33" s="67"/>
    </row>
    <row r="34" spans="1:19" s="44" customFormat="1" ht="20.100000000000001" customHeight="1">
      <c r="A34" s="72" t="s">
        <v>134</v>
      </c>
      <c r="B34" s="72"/>
      <c r="C34" s="72"/>
      <c r="D34" s="72"/>
      <c r="E34" s="72"/>
      <c r="F34" s="72"/>
      <c r="G34" s="72"/>
      <c r="H34" s="72"/>
      <c r="I34" s="72"/>
      <c r="J34" s="72"/>
      <c r="K34" s="60"/>
      <c r="L34" s="60"/>
      <c r="M34" s="73"/>
      <c r="N34" s="62"/>
      <c r="O34" s="62"/>
      <c r="P34" s="66"/>
      <c r="Q34" s="66"/>
      <c r="S34" s="67"/>
    </row>
    <row r="35" spans="1:19" s="44" customFormat="1" ht="20.100000000000001" customHeight="1">
      <c r="A35" s="366" t="s">
        <v>135</v>
      </c>
      <c r="B35" s="65"/>
      <c r="C35" s="74"/>
      <c r="D35" s="74"/>
      <c r="E35" s="74"/>
      <c r="F35" s="74"/>
      <c r="G35" s="74"/>
      <c r="H35" s="74"/>
      <c r="I35" s="74"/>
      <c r="J35" s="74"/>
      <c r="K35" s="51"/>
      <c r="L35" s="51"/>
      <c r="M35" s="49"/>
      <c r="N35" s="56"/>
      <c r="O35" s="56"/>
      <c r="P35" s="66"/>
      <c r="Q35" s="66"/>
      <c r="S35" s="67"/>
    </row>
    <row r="36" spans="1:19" s="44" customFormat="1" ht="20.100000000000001" customHeight="1">
      <c r="A36" s="366" t="s">
        <v>136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56"/>
      <c r="O36" s="56"/>
      <c r="P36" s="70"/>
      <c r="Q36" s="66"/>
      <c r="S36" s="67"/>
    </row>
    <row r="37" spans="1:19" s="44" customFormat="1" ht="10.35" customHeight="1">
      <c r="A37" s="366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56"/>
      <c r="O37" s="56"/>
      <c r="P37" s="70"/>
      <c r="Q37" s="66"/>
      <c r="S37" s="67"/>
    </row>
    <row r="38" spans="1:19" s="44" customFormat="1" ht="9.4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56"/>
      <c r="O38" s="56"/>
      <c r="P38" s="70"/>
      <c r="Q38" s="66"/>
      <c r="S38" s="67"/>
    </row>
    <row r="39" spans="1:19" s="44" customFormat="1" ht="20.100000000000001" customHeight="1">
      <c r="A39" s="72" t="s">
        <v>137</v>
      </c>
      <c r="B39" s="72"/>
      <c r="C39" s="72"/>
      <c r="D39" s="72"/>
      <c r="E39" s="72"/>
      <c r="F39" s="72"/>
      <c r="G39" s="72"/>
      <c r="H39" s="72"/>
      <c r="I39" s="72"/>
      <c r="J39" s="72"/>
      <c r="K39" s="60"/>
      <c r="L39" s="60"/>
      <c r="M39" s="73"/>
      <c r="N39" s="62"/>
      <c r="O39" s="62"/>
      <c r="P39" s="66"/>
      <c r="Q39" s="66"/>
      <c r="S39" s="67"/>
    </row>
    <row r="40" spans="1:19" ht="15">
      <c r="A40" s="366" t="s">
        <v>138</v>
      </c>
    </row>
    <row r="41" spans="1:19" ht="15">
      <c r="A41" s="368" t="s">
        <v>139</v>
      </c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</row>
    <row r="42" spans="1:19" ht="15">
      <c r="A42" s="370" t="s">
        <v>140</v>
      </c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</row>
    <row r="43" spans="1:19" ht="15">
      <c r="A43" s="370" t="s">
        <v>141</v>
      </c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69"/>
    </row>
    <row r="44" spans="1:19" ht="15">
      <c r="A44" s="370" t="s">
        <v>142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</row>
    <row r="45" spans="1:19" ht="15">
      <c r="A45" s="370" t="s">
        <v>143</v>
      </c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</row>
    <row r="46" spans="1:19" ht="36.75" customHeight="1">
      <c r="A46" s="480" t="s">
        <v>144</v>
      </c>
      <c r="B46" s="480"/>
      <c r="C46" s="480"/>
      <c r="D46" s="480"/>
      <c r="E46" s="480"/>
      <c r="F46" s="480"/>
      <c r="G46" s="480"/>
      <c r="H46" s="480"/>
      <c r="I46" s="480"/>
      <c r="J46" s="480"/>
      <c r="K46" s="480"/>
      <c r="L46" s="480"/>
      <c r="M46" s="480"/>
    </row>
  </sheetData>
  <sheetProtection sheet="1"/>
  <mergeCells count="5">
    <mergeCell ref="A14:M14"/>
    <mergeCell ref="A15:M15"/>
    <mergeCell ref="A25:N25"/>
    <mergeCell ref="A26:N26"/>
    <mergeCell ref="A46:M46"/>
  </mergeCells>
  <pageMargins left="0.7" right="0.7" top="0.75" bottom="0.75" header="0.3" footer="0.3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AD7D-47D3-44B3-A3B9-CE979062844B}">
  <sheetPr>
    <tabColor rgb="FF7030A0"/>
  </sheetPr>
  <dimension ref="B3:E4"/>
  <sheetViews>
    <sheetView workbookViewId="0">
      <selection activeCell="K17" sqref="K17"/>
    </sheetView>
  </sheetViews>
  <sheetFormatPr defaultColWidth="11.42578125" defaultRowHeight="12.75"/>
  <cols>
    <col min="1" max="16384" width="11.42578125" style="52"/>
  </cols>
  <sheetData>
    <row r="3" spans="2:5" ht="17.25">
      <c r="B3" s="178"/>
      <c r="C3" s="177" t="s">
        <v>76</v>
      </c>
      <c r="D3" s="179" t="s">
        <v>77</v>
      </c>
      <c r="E3" s="179" t="s">
        <v>78</v>
      </c>
    </row>
    <row r="4" spans="2:5" ht="18.75">
      <c r="B4" s="87"/>
      <c r="C4" s="42"/>
      <c r="D4" s="180">
        <v>30</v>
      </c>
      <c r="E4" s="181">
        <f>D4/60*100</f>
        <v>50</v>
      </c>
    </row>
  </sheetData>
  <sheetProtection sheet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7DD0C-1873-4765-A23D-8152FBD2C08A}">
  <sheetPr>
    <tabColor theme="3" tint="0.39997558519241921"/>
  </sheetPr>
  <dimension ref="A1:AE26"/>
  <sheetViews>
    <sheetView workbookViewId="0">
      <selection activeCell="E5" sqref="E5:E10"/>
    </sheetView>
  </sheetViews>
  <sheetFormatPr defaultColWidth="11.42578125" defaultRowHeight="15"/>
  <cols>
    <col min="1" max="1" width="11.42578125" style="52"/>
    <col min="2" max="2" width="3.7109375" style="52" customWidth="1"/>
    <col min="3" max="3" width="9.42578125" style="52" customWidth="1"/>
    <col min="4" max="4" width="3.42578125" style="52" customWidth="1"/>
    <col min="5" max="5" width="9.42578125" style="52" customWidth="1"/>
    <col min="6" max="6" width="3.7109375" style="52" customWidth="1"/>
    <col min="7" max="7" width="9.42578125" style="52" customWidth="1"/>
    <col min="8" max="8" width="3.42578125" style="52" customWidth="1"/>
    <col min="9" max="9" width="9.42578125" style="52" customWidth="1"/>
    <col min="10" max="10" width="3.7109375" style="52" customWidth="1"/>
    <col min="11" max="11" width="9.42578125" style="52" customWidth="1"/>
    <col min="12" max="12" width="3.42578125" style="52" customWidth="1"/>
    <col min="13" max="13" width="10.28515625" style="371" customWidth="1"/>
    <col min="14" max="14" width="11.42578125" style="372" customWidth="1"/>
    <col min="15" max="16384" width="11.42578125" style="52"/>
  </cols>
  <sheetData>
    <row r="1" spans="1:31">
      <c r="E1" s="484" t="s">
        <v>145</v>
      </c>
      <c r="F1" s="485"/>
      <c r="G1" s="485"/>
      <c r="H1" s="485"/>
      <c r="I1" s="485"/>
      <c r="J1" s="485"/>
      <c r="K1" s="486"/>
    </row>
    <row r="2" spans="1:31" ht="29.25" customHeight="1">
      <c r="E2" s="487"/>
      <c r="F2" s="488"/>
      <c r="G2" s="488"/>
      <c r="H2" s="488"/>
      <c r="I2" s="488"/>
      <c r="J2" s="488"/>
      <c r="K2" s="489"/>
    </row>
    <row r="3" spans="1:31" ht="15.75" thickBot="1"/>
    <row r="4" spans="1:31" s="374" customFormat="1" ht="24" customHeight="1" thickBot="1">
      <c r="A4" s="490" t="s">
        <v>146</v>
      </c>
      <c r="B4" s="491"/>
      <c r="C4" s="491"/>
      <c r="D4" s="491"/>
      <c r="E4" s="491"/>
      <c r="F4" s="491"/>
      <c r="G4" s="491"/>
      <c r="H4" s="491"/>
      <c r="I4" s="491"/>
      <c r="J4" s="491"/>
      <c r="K4" s="491"/>
      <c r="L4" s="491"/>
      <c r="M4" s="492"/>
      <c r="N4" s="373" t="s">
        <v>147</v>
      </c>
      <c r="S4" s="177" t="s">
        <v>76</v>
      </c>
      <c r="T4" s="179" t="s">
        <v>77</v>
      </c>
      <c r="U4" s="179" t="s">
        <v>78</v>
      </c>
    </row>
    <row r="5" spans="1:31" ht="18.75">
      <c r="A5" s="375" t="s">
        <v>148</v>
      </c>
      <c r="B5" s="376" t="s">
        <v>149</v>
      </c>
      <c r="C5" s="377"/>
      <c r="D5" s="376" t="s">
        <v>150</v>
      </c>
      <c r="E5" s="377"/>
      <c r="F5" s="376" t="s">
        <v>149</v>
      </c>
      <c r="G5" s="377"/>
      <c r="H5" s="376" t="s">
        <v>150</v>
      </c>
      <c r="I5" s="377"/>
      <c r="J5" s="376" t="s">
        <v>149</v>
      </c>
      <c r="K5" s="377"/>
      <c r="L5" s="376" t="s">
        <v>150</v>
      </c>
      <c r="M5" s="378"/>
      <c r="N5" s="379">
        <f t="shared" ref="N5:N10" si="0">(E5-C5)+(I5-G5)+(M5-K5)</f>
        <v>0</v>
      </c>
      <c r="O5" s="380"/>
      <c r="P5" s="381"/>
      <c r="S5" s="42"/>
      <c r="T5" s="382">
        <v>30</v>
      </c>
      <c r="U5" s="181">
        <f>T5/60*100</f>
        <v>50</v>
      </c>
      <c r="AE5" s="381"/>
    </row>
    <row r="6" spans="1:31">
      <c r="A6" s="383" t="s">
        <v>151</v>
      </c>
      <c r="B6" s="384" t="s">
        <v>149</v>
      </c>
      <c r="C6" s="385"/>
      <c r="D6" s="384" t="s">
        <v>150</v>
      </c>
      <c r="E6" s="385"/>
      <c r="F6" s="384" t="s">
        <v>149</v>
      </c>
      <c r="G6" s="385"/>
      <c r="H6" s="384" t="s">
        <v>150</v>
      </c>
      <c r="I6" s="385"/>
      <c r="J6" s="384" t="s">
        <v>149</v>
      </c>
      <c r="K6" s="385"/>
      <c r="L6" s="384" t="s">
        <v>150</v>
      </c>
      <c r="M6" s="386"/>
      <c r="N6" s="387">
        <f t="shared" si="0"/>
        <v>0</v>
      </c>
      <c r="O6" s="380"/>
      <c r="P6" s="381"/>
      <c r="AE6" s="381"/>
    </row>
    <row r="7" spans="1:31">
      <c r="A7" s="383" t="s">
        <v>152</v>
      </c>
      <c r="B7" s="384" t="s">
        <v>149</v>
      </c>
      <c r="C7" s="385"/>
      <c r="D7" s="384" t="s">
        <v>150</v>
      </c>
      <c r="E7" s="385"/>
      <c r="F7" s="384" t="s">
        <v>149</v>
      </c>
      <c r="G7" s="385"/>
      <c r="H7" s="384" t="s">
        <v>150</v>
      </c>
      <c r="I7" s="385"/>
      <c r="J7" s="384" t="s">
        <v>149</v>
      </c>
      <c r="K7" s="385"/>
      <c r="L7" s="384" t="s">
        <v>150</v>
      </c>
      <c r="M7" s="386"/>
      <c r="N7" s="387">
        <f t="shared" si="0"/>
        <v>0</v>
      </c>
      <c r="O7" s="380"/>
      <c r="P7" s="381"/>
      <c r="AE7" s="381"/>
    </row>
    <row r="8" spans="1:31">
      <c r="A8" s="383" t="s">
        <v>153</v>
      </c>
      <c r="B8" s="384" t="s">
        <v>149</v>
      </c>
      <c r="C8" s="385"/>
      <c r="D8" s="384" t="s">
        <v>150</v>
      </c>
      <c r="E8" s="385"/>
      <c r="F8" s="384" t="s">
        <v>149</v>
      </c>
      <c r="G8" s="385"/>
      <c r="H8" s="384" t="s">
        <v>150</v>
      </c>
      <c r="I8" s="385"/>
      <c r="J8" s="384" t="s">
        <v>149</v>
      </c>
      <c r="K8" s="385"/>
      <c r="L8" s="384" t="s">
        <v>150</v>
      </c>
      <c r="M8" s="386"/>
      <c r="N8" s="387">
        <f t="shared" si="0"/>
        <v>0</v>
      </c>
      <c r="O8" s="380"/>
      <c r="P8" s="381"/>
      <c r="AE8" s="381"/>
    </row>
    <row r="9" spans="1:31">
      <c r="A9" s="383" t="s">
        <v>154</v>
      </c>
      <c r="B9" s="384" t="s">
        <v>149</v>
      </c>
      <c r="C9" s="385"/>
      <c r="D9" s="384" t="s">
        <v>150</v>
      </c>
      <c r="E9" s="385"/>
      <c r="F9" s="384" t="s">
        <v>149</v>
      </c>
      <c r="G9" s="385"/>
      <c r="H9" s="384" t="s">
        <v>150</v>
      </c>
      <c r="I9" s="385"/>
      <c r="J9" s="384" t="s">
        <v>149</v>
      </c>
      <c r="K9" s="385"/>
      <c r="L9" s="384" t="s">
        <v>150</v>
      </c>
      <c r="M9" s="386"/>
      <c r="N9" s="387">
        <f t="shared" si="0"/>
        <v>0</v>
      </c>
      <c r="O9" s="380"/>
      <c r="P9" s="381"/>
      <c r="AE9" s="381"/>
    </row>
    <row r="10" spans="1:31" ht="15.75" thickBot="1">
      <c r="A10" s="388" t="s">
        <v>155</v>
      </c>
      <c r="B10" s="389" t="s">
        <v>149</v>
      </c>
      <c r="C10" s="390"/>
      <c r="D10" s="389" t="s">
        <v>150</v>
      </c>
      <c r="E10" s="390"/>
      <c r="F10" s="389" t="s">
        <v>149</v>
      </c>
      <c r="G10" s="390"/>
      <c r="H10" s="389" t="s">
        <v>150</v>
      </c>
      <c r="I10" s="390"/>
      <c r="J10" s="389" t="s">
        <v>149</v>
      </c>
      <c r="K10" s="390"/>
      <c r="L10" s="389" t="s">
        <v>150</v>
      </c>
      <c r="M10" s="391"/>
      <c r="N10" s="392">
        <f t="shared" si="0"/>
        <v>0</v>
      </c>
      <c r="O10" s="380"/>
      <c r="P10" s="381"/>
      <c r="AE10" s="381"/>
    </row>
    <row r="11" spans="1:31">
      <c r="A11" s="371"/>
      <c r="B11" s="371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O11" s="380"/>
      <c r="P11" s="381"/>
      <c r="R11" s="380"/>
      <c r="S11" s="381"/>
      <c r="U11" s="380"/>
      <c r="V11" s="381"/>
      <c r="X11" s="380"/>
      <c r="Y11" s="381"/>
      <c r="AA11" s="380"/>
      <c r="AB11" s="381"/>
      <c r="AD11" s="380"/>
      <c r="AE11" s="381"/>
    </row>
    <row r="12" spans="1:31">
      <c r="A12" s="371"/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  <row r="13" spans="1:31" ht="15" customHeight="1">
      <c r="A13" s="393"/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</row>
    <row r="14" spans="1:31" ht="15" customHeight="1">
      <c r="A14" s="393"/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</row>
    <row r="15" spans="1:31" s="374" customFormat="1" ht="23.25" customHeight="1">
      <c r="A15" s="393"/>
      <c r="B15" s="393"/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</row>
    <row r="16" spans="1:31" ht="15" customHeight="1">
      <c r="A16" s="393"/>
      <c r="B16" s="393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</row>
    <row r="17" spans="1:15" ht="15" customHeight="1">
      <c r="A17" s="393"/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</row>
    <row r="18" spans="1:15" ht="15" customHeight="1">
      <c r="A18" s="393"/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</row>
    <row r="19" spans="1:15" ht="15" customHeight="1">
      <c r="A19" s="393"/>
      <c r="B19" s="393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</row>
    <row r="20" spans="1:15" ht="15" customHeight="1">
      <c r="A20" s="393"/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</row>
    <row r="21" spans="1:15" ht="15" customHeight="1">
      <c r="A21" s="393"/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</row>
    <row r="22" spans="1:15" ht="15" customHeight="1">
      <c r="A22" s="393"/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</row>
    <row r="23" spans="1:15" ht="15" customHeight="1">
      <c r="A23" s="393"/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</row>
    <row r="24" spans="1:15">
      <c r="A24" s="371"/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71"/>
    </row>
    <row r="25" spans="1:15">
      <c r="A25" s="371"/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71"/>
    </row>
    <row r="26" spans="1:15">
      <c r="A26" s="371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</row>
  </sheetData>
  <sheetProtection sheet="1" formatCells="0" formatColumns="0" formatRows="0" selectLockedCells="1" pivotTables="0"/>
  <protectedRanges>
    <protectedRange sqref="C5:C10 E5:E10 G5:G10 I5:I10 K16:K21 M16:M21 K5:K10 M5:M10 C16:C21 E16:E21 G16:G21 I16:I21" name="Plage1"/>
    <protectedRange sqref="T5" name="Plage2"/>
  </protectedRanges>
  <mergeCells count="2">
    <mergeCell ref="E1:K2"/>
    <mergeCell ref="A4:M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207E1-C430-4E8B-970C-AFF9265F2574}">
  <sheetPr>
    <tabColor theme="4" tint="-0.249977111117893"/>
    <pageSetUpPr fitToPage="1"/>
  </sheetPr>
  <dimension ref="A1:BF68"/>
  <sheetViews>
    <sheetView showZeros="0" tabSelected="1" topLeftCell="A23" zoomScaleNormal="100" workbookViewId="0">
      <selection activeCell="AU50" sqref="AU50:AV50"/>
    </sheetView>
  </sheetViews>
  <sheetFormatPr defaultColWidth="11.42578125" defaultRowHeight="15"/>
  <cols>
    <col min="1" max="1" width="7.140625" style="192" customWidth="1"/>
    <col min="2" max="2" width="2.85546875" style="193" customWidth="1"/>
    <col min="3" max="3" width="6" style="194" customWidth="1"/>
    <col min="4" max="4" width="4.28515625" style="194" customWidth="1"/>
    <col min="5" max="5" width="7.140625" style="192" customWidth="1"/>
    <col min="6" max="6" width="2.85546875" style="193" customWidth="1"/>
    <col min="7" max="7" width="6" style="194" customWidth="1"/>
    <col min="8" max="8" width="4.28515625" style="194" customWidth="1"/>
    <col min="9" max="9" width="9.140625" style="192" customWidth="1"/>
    <col min="10" max="10" width="2.85546875" style="193" customWidth="1"/>
    <col min="11" max="11" width="6" style="194" customWidth="1"/>
    <col min="12" max="12" width="4.28515625" style="194" customWidth="1"/>
    <col min="13" max="13" width="7.140625" style="192" customWidth="1"/>
    <col min="14" max="14" width="2.85546875" style="193" customWidth="1"/>
    <col min="15" max="15" width="6" style="194" customWidth="1"/>
    <col min="16" max="16" width="4.28515625" style="194" customWidth="1"/>
    <col min="17" max="17" width="7.140625" style="192" customWidth="1"/>
    <col min="18" max="18" width="2.85546875" style="193" customWidth="1"/>
    <col min="19" max="19" width="5.85546875" style="194" customWidth="1"/>
    <col min="20" max="20" width="4.28515625" style="194" customWidth="1"/>
    <col min="21" max="21" width="7.140625" style="192" customWidth="1"/>
    <col min="22" max="22" width="2.85546875" style="193" customWidth="1"/>
    <col min="23" max="23" width="6" style="194" customWidth="1"/>
    <col min="24" max="24" width="4.28515625" style="194" customWidth="1"/>
    <col min="25" max="25" width="7.140625" style="192" customWidth="1"/>
    <col min="26" max="26" width="2.85546875" style="193" customWidth="1"/>
    <col min="27" max="27" width="6" style="194" customWidth="1"/>
    <col min="28" max="28" width="4.28515625" style="192" customWidth="1"/>
    <col min="29" max="29" width="7.140625" style="192" customWidth="1"/>
    <col min="30" max="30" width="2.85546875" style="193" customWidth="1"/>
    <col min="31" max="31" width="6" style="194" customWidth="1"/>
    <col min="32" max="32" width="4.28515625" style="194" customWidth="1"/>
    <col min="33" max="33" width="7.140625" style="192" customWidth="1"/>
    <col min="34" max="34" width="2.85546875" style="193" customWidth="1"/>
    <col min="35" max="35" width="6" style="194" customWidth="1"/>
    <col min="36" max="36" width="4.28515625" style="194" customWidth="1"/>
    <col min="37" max="37" width="7.140625" style="192" customWidth="1"/>
    <col min="38" max="38" width="2.85546875" style="193" customWidth="1"/>
    <col min="39" max="39" width="6" style="194" customWidth="1"/>
    <col min="40" max="40" width="4.28515625" style="194" customWidth="1"/>
    <col min="41" max="41" width="7.140625" style="192" customWidth="1"/>
    <col min="42" max="42" width="2.85546875" style="193" customWidth="1"/>
    <col min="43" max="43" width="6" style="194" customWidth="1"/>
    <col min="44" max="44" width="4.28515625" style="194" customWidth="1"/>
    <col min="45" max="45" width="7.140625" style="192" customWidth="1"/>
    <col min="46" max="46" width="2.85546875" style="193" customWidth="1"/>
    <col min="47" max="47" width="6" style="194" customWidth="1"/>
    <col min="48" max="48" width="4.28515625" style="194" customWidth="1"/>
    <col min="49" max="50" width="3.28515625" style="194" customWidth="1"/>
    <col min="51" max="16384" width="11.42578125" style="194"/>
  </cols>
  <sheetData>
    <row r="1" spans="1:52" s="187" customFormat="1" ht="18.75" customHeight="1">
      <c r="A1" s="185" t="s">
        <v>156</v>
      </c>
      <c r="B1" s="186"/>
      <c r="E1" s="188" t="s">
        <v>157</v>
      </c>
      <c r="F1" s="564" t="str">
        <f>'Prépa planning SURV. INTERNAT'!D31</f>
        <v>ASREC CENTRE*</v>
      </c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W1" s="187" t="str">
        <f>'Prépa planning SURV. INTERNAT'!D32</f>
        <v>TOURS*</v>
      </c>
      <c r="AR1" s="187" t="s">
        <v>158</v>
      </c>
    </row>
    <row r="2" spans="1:52" s="189" customFormat="1" ht="16.5">
      <c r="A2" s="185" t="s">
        <v>159</v>
      </c>
      <c r="B2" s="186"/>
      <c r="C2" s="187"/>
      <c r="D2" s="187"/>
      <c r="E2" s="188" t="s">
        <v>157</v>
      </c>
      <c r="F2" s="564" t="str">
        <f>'Prépa planning SURV. INTERNAT'!D34</f>
        <v>MONSIEUR*</v>
      </c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187"/>
      <c r="U2" s="185" t="s">
        <v>160</v>
      </c>
      <c r="V2" s="190"/>
      <c r="W2" s="564" t="str">
        <f>'Prépa planning SURV. INTERNAT'!D35</f>
        <v>EMPLOYE*</v>
      </c>
      <c r="X2" s="564"/>
      <c r="Y2" s="564"/>
      <c r="Z2" s="564"/>
      <c r="AA2" s="564"/>
      <c r="AB2" s="564"/>
      <c r="AC2" s="564"/>
      <c r="AD2" s="564"/>
      <c r="AE2" s="564"/>
      <c r="AF2" s="564"/>
      <c r="AG2" s="564"/>
      <c r="AH2" s="564"/>
      <c r="AI2" s="564"/>
      <c r="AJ2" s="564"/>
      <c r="AK2" s="564"/>
      <c r="AL2" s="564"/>
      <c r="AM2" s="564"/>
      <c r="AN2" s="406"/>
      <c r="AO2" s="191"/>
      <c r="AP2" s="191"/>
      <c r="AQ2" s="191"/>
      <c r="AR2" s="191"/>
      <c r="AS2" s="191"/>
      <c r="AT2" s="191"/>
      <c r="AU2" s="191"/>
      <c r="AV2" s="191"/>
      <c r="AW2" s="187"/>
      <c r="AX2" s="187"/>
    </row>
    <row r="3" spans="1:52" ht="9.75" customHeight="1" thickBot="1"/>
    <row r="4" spans="1:52" ht="16.5" customHeight="1" thickBot="1">
      <c r="A4" s="195"/>
      <c r="B4" s="196"/>
      <c r="C4" s="576" t="s">
        <v>161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8"/>
      <c r="AG4" s="194"/>
      <c r="AH4" s="194"/>
      <c r="AK4" s="194"/>
      <c r="AL4" s="194"/>
      <c r="AO4" s="194"/>
      <c r="AP4" s="194"/>
      <c r="AS4" s="194"/>
      <c r="AT4" s="194"/>
      <c r="AW4" s="197"/>
    </row>
    <row r="5" spans="1:52" ht="16.5" customHeight="1" thickBot="1">
      <c r="A5" s="195"/>
      <c r="B5" s="196"/>
      <c r="C5" s="579" t="s">
        <v>162</v>
      </c>
      <c r="D5" s="580"/>
      <c r="E5" s="580"/>
      <c r="F5" s="580"/>
      <c r="G5" s="580"/>
      <c r="H5" s="581"/>
      <c r="I5" s="572" t="s">
        <v>163</v>
      </c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4"/>
      <c r="Y5" s="579" t="s">
        <v>164</v>
      </c>
      <c r="Z5" s="580"/>
      <c r="AA5" s="580"/>
      <c r="AB5" s="580"/>
      <c r="AC5" s="580"/>
      <c r="AD5" s="580"/>
      <c r="AE5" s="580"/>
      <c r="AF5" s="581"/>
      <c r="AG5" s="194"/>
      <c r="AH5" s="194"/>
      <c r="AK5" s="194"/>
      <c r="AL5" s="194"/>
      <c r="AO5" s="194"/>
      <c r="AP5" s="194"/>
      <c r="AS5" s="194"/>
      <c r="AT5" s="194"/>
      <c r="AW5" s="197"/>
    </row>
    <row r="6" spans="1:52" ht="16.5" customHeight="1" thickBot="1">
      <c r="A6" s="196"/>
      <c r="B6" s="196"/>
      <c r="C6" s="582"/>
      <c r="D6" s="583"/>
      <c r="E6" s="583"/>
      <c r="F6" s="583"/>
      <c r="G6" s="583"/>
      <c r="H6" s="584"/>
      <c r="I6" s="570" t="s">
        <v>165</v>
      </c>
      <c r="J6" s="570"/>
      <c r="K6" s="570"/>
      <c r="L6" s="570"/>
      <c r="M6" s="570"/>
      <c r="N6" s="570"/>
      <c r="O6" s="570"/>
      <c r="P6" s="571"/>
      <c r="Q6" s="575" t="s">
        <v>166</v>
      </c>
      <c r="R6" s="570"/>
      <c r="S6" s="570"/>
      <c r="T6" s="570"/>
      <c r="U6" s="570"/>
      <c r="V6" s="570"/>
      <c r="W6" s="570"/>
      <c r="X6" s="571"/>
      <c r="Y6" s="582"/>
      <c r="Z6" s="583"/>
      <c r="AA6" s="583"/>
      <c r="AB6" s="583"/>
      <c r="AC6" s="583"/>
      <c r="AD6" s="583"/>
      <c r="AE6" s="583"/>
      <c r="AF6" s="584"/>
      <c r="AG6" s="566" t="s">
        <v>167</v>
      </c>
      <c r="AH6" s="567"/>
      <c r="AI6" s="567"/>
      <c r="AJ6" s="568"/>
      <c r="AK6" s="566" t="s">
        <v>168</v>
      </c>
      <c r="AL6" s="567"/>
      <c r="AM6" s="567"/>
      <c r="AN6" s="567"/>
      <c r="AO6" s="568"/>
      <c r="AP6" s="566" t="s">
        <v>169</v>
      </c>
      <c r="AQ6" s="567"/>
      <c r="AR6" s="567"/>
      <c r="AS6" s="567"/>
      <c r="AT6" s="567"/>
      <c r="AU6" s="567"/>
      <c r="AV6" s="568"/>
      <c r="AW6" s="197"/>
    </row>
    <row r="7" spans="1:52" ht="16.5" customHeight="1" thickBot="1">
      <c r="A7" s="560" t="s">
        <v>170</v>
      </c>
      <c r="B7" s="561"/>
      <c r="C7" s="198" t="s">
        <v>149</v>
      </c>
      <c r="D7" s="540"/>
      <c r="E7" s="542"/>
      <c r="F7" s="199" t="s">
        <v>150</v>
      </c>
      <c r="G7" s="540"/>
      <c r="H7" s="542"/>
      <c r="I7" s="200" t="s">
        <v>149</v>
      </c>
      <c r="J7" s="540"/>
      <c r="K7" s="541"/>
      <c r="L7" s="541"/>
      <c r="M7" s="201" t="s">
        <v>150</v>
      </c>
      <c r="N7" s="540"/>
      <c r="O7" s="541"/>
      <c r="P7" s="541"/>
      <c r="Q7" s="200" t="s">
        <v>149</v>
      </c>
      <c r="R7" s="540"/>
      <c r="S7" s="541"/>
      <c r="T7" s="541"/>
      <c r="U7" s="202" t="s">
        <v>150</v>
      </c>
      <c r="V7" s="540"/>
      <c r="W7" s="541"/>
      <c r="X7" s="565"/>
      <c r="Y7" s="308" t="s">
        <v>149</v>
      </c>
      <c r="Z7" s="540"/>
      <c r="AA7" s="541"/>
      <c r="AB7" s="542"/>
      <c r="AC7" s="309" t="s">
        <v>150</v>
      </c>
      <c r="AD7" s="540"/>
      <c r="AE7" s="541"/>
      <c r="AF7" s="585"/>
      <c r="AG7" s="203" t="s">
        <v>171</v>
      </c>
      <c r="AH7" s="522">
        <f t="shared" ref="AH7:AH12" si="0">IF(R7=0,(G7-D7)+(N7-J7)+(AD7-Z7),(G7-D7)+(N7-J7)+((V7-0)+(24-R7))+(AD7-Z7))</f>
        <v>0</v>
      </c>
      <c r="AI7" s="539"/>
      <c r="AJ7" s="523"/>
      <c r="AK7" s="537" t="s">
        <v>171</v>
      </c>
      <c r="AL7" s="538"/>
      <c r="AM7" s="522">
        <f t="shared" ref="AM7:AM12" si="1">IF(R7=0,(G7-D7)+(N7-J7)+(AD7-Z7),(G7-D7)+(N7-J7)+(((V7-0)+(24-R7))*45/100)+(AD7-Z7))</f>
        <v>0</v>
      </c>
      <c r="AN7" s="539"/>
      <c r="AO7" s="523"/>
      <c r="AP7" s="537" t="s">
        <v>171</v>
      </c>
      <c r="AQ7" s="538"/>
      <c r="AR7" s="550" t="str">
        <f t="shared" ref="AR7:AR12" si="2">IF(J7="","",IF(R7=0,(N7-21),(N7-21)+(((V7-0)+(24-R7))*45/100)))</f>
        <v/>
      </c>
      <c r="AS7" s="551"/>
      <c r="AT7" s="551"/>
      <c r="AU7" s="551"/>
      <c r="AV7" s="552"/>
      <c r="AW7" s="204"/>
      <c r="AY7" s="205" t="s">
        <v>76</v>
      </c>
      <c r="AZ7" s="189"/>
    </row>
    <row r="8" spans="1:52" ht="16.5" customHeight="1" thickBot="1">
      <c r="A8" s="556" t="s">
        <v>148</v>
      </c>
      <c r="B8" s="557"/>
      <c r="C8" s="206" t="s">
        <v>149</v>
      </c>
      <c r="D8" s="540"/>
      <c r="E8" s="542"/>
      <c r="F8" s="207" t="s">
        <v>150</v>
      </c>
      <c r="G8" s="540"/>
      <c r="H8" s="542"/>
      <c r="I8" s="208" t="s">
        <v>149</v>
      </c>
      <c r="J8" s="540"/>
      <c r="K8" s="541"/>
      <c r="L8" s="541"/>
      <c r="M8" s="209" t="s">
        <v>150</v>
      </c>
      <c r="N8" s="540"/>
      <c r="O8" s="541"/>
      <c r="P8" s="541"/>
      <c r="Q8" s="208" t="s">
        <v>149</v>
      </c>
      <c r="R8" s="540"/>
      <c r="S8" s="541"/>
      <c r="T8" s="541"/>
      <c r="U8" s="210" t="s">
        <v>150</v>
      </c>
      <c r="V8" s="540"/>
      <c r="W8" s="541"/>
      <c r="X8" s="565"/>
      <c r="Y8" s="311" t="s">
        <v>149</v>
      </c>
      <c r="Z8" s="540"/>
      <c r="AA8" s="541"/>
      <c r="AB8" s="542"/>
      <c r="AC8" s="310" t="s">
        <v>150</v>
      </c>
      <c r="AD8" s="540"/>
      <c r="AE8" s="541"/>
      <c r="AF8" s="585"/>
      <c r="AG8" s="203" t="s">
        <v>172</v>
      </c>
      <c r="AH8" s="522">
        <f t="shared" si="0"/>
        <v>0</v>
      </c>
      <c r="AI8" s="539"/>
      <c r="AJ8" s="523"/>
      <c r="AK8" s="537" t="s">
        <v>172</v>
      </c>
      <c r="AL8" s="538"/>
      <c r="AM8" s="522">
        <f t="shared" si="1"/>
        <v>0</v>
      </c>
      <c r="AN8" s="539"/>
      <c r="AO8" s="523"/>
      <c r="AP8" s="537" t="s">
        <v>172</v>
      </c>
      <c r="AQ8" s="538"/>
      <c r="AR8" s="550" t="str">
        <f t="shared" si="2"/>
        <v/>
      </c>
      <c r="AS8" s="551"/>
      <c r="AT8" s="551"/>
      <c r="AU8" s="551"/>
      <c r="AV8" s="552"/>
      <c r="AW8" s="204"/>
      <c r="AY8" s="211" t="s">
        <v>77</v>
      </c>
      <c r="AZ8" s="211" t="s">
        <v>78</v>
      </c>
    </row>
    <row r="9" spans="1:52" ht="17.100000000000001" customHeight="1" thickBot="1">
      <c r="A9" s="558" t="s">
        <v>151</v>
      </c>
      <c r="B9" s="559"/>
      <c r="C9" s="212" t="s">
        <v>149</v>
      </c>
      <c r="D9" s="540"/>
      <c r="E9" s="542"/>
      <c r="F9" s="213" t="s">
        <v>150</v>
      </c>
      <c r="G9" s="540"/>
      <c r="H9" s="542"/>
      <c r="I9" s="214" t="s">
        <v>149</v>
      </c>
      <c r="J9" s="540"/>
      <c r="K9" s="541"/>
      <c r="L9" s="541"/>
      <c r="M9" s="209" t="s">
        <v>150</v>
      </c>
      <c r="N9" s="540"/>
      <c r="O9" s="541"/>
      <c r="P9" s="541"/>
      <c r="Q9" s="214" t="s">
        <v>149</v>
      </c>
      <c r="R9" s="540"/>
      <c r="S9" s="541"/>
      <c r="T9" s="541"/>
      <c r="U9" s="215" t="s">
        <v>150</v>
      </c>
      <c r="V9" s="540"/>
      <c r="W9" s="541"/>
      <c r="X9" s="565"/>
      <c r="Y9" s="312" t="s">
        <v>149</v>
      </c>
      <c r="Z9" s="540"/>
      <c r="AA9" s="541"/>
      <c r="AB9" s="542"/>
      <c r="AC9" s="212" t="s">
        <v>150</v>
      </c>
      <c r="AD9" s="540"/>
      <c r="AE9" s="541"/>
      <c r="AF9" s="585"/>
      <c r="AG9" s="203" t="s">
        <v>173</v>
      </c>
      <c r="AH9" s="522">
        <f t="shared" si="0"/>
        <v>0</v>
      </c>
      <c r="AI9" s="539"/>
      <c r="AJ9" s="523"/>
      <c r="AK9" s="537" t="s">
        <v>173</v>
      </c>
      <c r="AL9" s="538"/>
      <c r="AM9" s="522">
        <f t="shared" si="1"/>
        <v>0</v>
      </c>
      <c r="AN9" s="539"/>
      <c r="AO9" s="523"/>
      <c r="AP9" s="537" t="s">
        <v>173</v>
      </c>
      <c r="AQ9" s="538"/>
      <c r="AR9" s="550" t="str">
        <f t="shared" si="2"/>
        <v/>
      </c>
      <c r="AS9" s="551"/>
      <c r="AT9" s="551"/>
      <c r="AU9" s="551"/>
      <c r="AV9" s="552"/>
      <c r="AW9" s="204"/>
      <c r="AY9" s="216">
        <v>30</v>
      </c>
      <c r="AZ9" s="217">
        <f>AY9/60*100</f>
        <v>50</v>
      </c>
    </row>
    <row r="10" spans="1:52" ht="17.100000000000001" customHeight="1" thickBot="1">
      <c r="A10" s="558" t="s">
        <v>152</v>
      </c>
      <c r="B10" s="559"/>
      <c r="C10" s="212" t="s">
        <v>149</v>
      </c>
      <c r="D10" s="540"/>
      <c r="E10" s="542"/>
      <c r="F10" s="213" t="s">
        <v>150</v>
      </c>
      <c r="G10" s="540"/>
      <c r="H10" s="542"/>
      <c r="I10" s="214" t="s">
        <v>149</v>
      </c>
      <c r="J10" s="540"/>
      <c r="K10" s="541"/>
      <c r="L10" s="541"/>
      <c r="M10" s="209" t="s">
        <v>150</v>
      </c>
      <c r="N10" s="540"/>
      <c r="O10" s="541"/>
      <c r="P10" s="541"/>
      <c r="Q10" s="214" t="s">
        <v>149</v>
      </c>
      <c r="R10" s="540"/>
      <c r="S10" s="541"/>
      <c r="T10" s="541"/>
      <c r="U10" s="215" t="s">
        <v>150</v>
      </c>
      <c r="V10" s="540"/>
      <c r="W10" s="541"/>
      <c r="X10" s="565"/>
      <c r="Y10" s="312" t="s">
        <v>149</v>
      </c>
      <c r="Z10" s="540"/>
      <c r="AA10" s="541"/>
      <c r="AB10" s="542"/>
      <c r="AC10" s="212" t="s">
        <v>150</v>
      </c>
      <c r="AD10" s="540"/>
      <c r="AE10" s="541"/>
      <c r="AF10" s="585"/>
      <c r="AG10" s="203" t="s">
        <v>173</v>
      </c>
      <c r="AH10" s="522">
        <f t="shared" si="0"/>
        <v>0</v>
      </c>
      <c r="AI10" s="539"/>
      <c r="AJ10" s="523"/>
      <c r="AK10" s="537" t="s">
        <v>173</v>
      </c>
      <c r="AL10" s="538"/>
      <c r="AM10" s="522">
        <f t="shared" si="1"/>
        <v>0</v>
      </c>
      <c r="AN10" s="539"/>
      <c r="AO10" s="523"/>
      <c r="AP10" s="537" t="s">
        <v>173</v>
      </c>
      <c r="AQ10" s="538"/>
      <c r="AR10" s="550" t="str">
        <f t="shared" si="2"/>
        <v/>
      </c>
      <c r="AS10" s="551"/>
      <c r="AT10" s="551"/>
      <c r="AU10" s="551"/>
      <c r="AV10" s="552"/>
      <c r="AW10" s="204"/>
    </row>
    <row r="11" spans="1:52" ht="17.100000000000001" customHeight="1" thickBot="1">
      <c r="A11" s="558" t="s">
        <v>153</v>
      </c>
      <c r="B11" s="559"/>
      <c r="C11" s="212" t="s">
        <v>149</v>
      </c>
      <c r="D11" s="540"/>
      <c r="E11" s="542"/>
      <c r="F11" s="213" t="s">
        <v>150</v>
      </c>
      <c r="G11" s="540"/>
      <c r="H11" s="542"/>
      <c r="I11" s="214" t="s">
        <v>149</v>
      </c>
      <c r="J11" s="540"/>
      <c r="K11" s="541"/>
      <c r="L11" s="541"/>
      <c r="M11" s="209" t="s">
        <v>150</v>
      </c>
      <c r="N11" s="540"/>
      <c r="O11" s="541"/>
      <c r="P11" s="541"/>
      <c r="Q11" s="214" t="s">
        <v>149</v>
      </c>
      <c r="R11" s="540"/>
      <c r="S11" s="541"/>
      <c r="T11" s="541"/>
      <c r="U11" s="215" t="s">
        <v>150</v>
      </c>
      <c r="V11" s="540"/>
      <c r="W11" s="541"/>
      <c r="X11" s="565"/>
      <c r="Y11" s="312" t="s">
        <v>149</v>
      </c>
      <c r="Z11" s="540"/>
      <c r="AA11" s="541"/>
      <c r="AB11" s="542"/>
      <c r="AC11" s="212" t="s">
        <v>150</v>
      </c>
      <c r="AD11" s="540"/>
      <c r="AE11" s="541"/>
      <c r="AF11" s="585"/>
      <c r="AG11" s="203" t="s">
        <v>174</v>
      </c>
      <c r="AH11" s="522">
        <f t="shared" si="0"/>
        <v>0</v>
      </c>
      <c r="AI11" s="539"/>
      <c r="AJ11" s="523"/>
      <c r="AK11" s="537" t="s">
        <v>174</v>
      </c>
      <c r="AL11" s="538"/>
      <c r="AM11" s="522">
        <f t="shared" si="1"/>
        <v>0</v>
      </c>
      <c r="AN11" s="539"/>
      <c r="AO11" s="523"/>
      <c r="AP11" s="537" t="s">
        <v>174</v>
      </c>
      <c r="AQ11" s="538"/>
      <c r="AR11" s="550" t="str">
        <f t="shared" si="2"/>
        <v/>
      </c>
      <c r="AS11" s="551"/>
      <c r="AT11" s="551"/>
      <c r="AU11" s="551"/>
      <c r="AV11" s="552"/>
      <c r="AW11" s="204"/>
    </row>
    <row r="12" spans="1:52" ht="17.25" thickBot="1">
      <c r="A12" s="562" t="s">
        <v>154</v>
      </c>
      <c r="B12" s="563"/>
      <c r="C12" s="218" t="s">
        <v>149</v>
      </c>
      <c r="D12" s="540"/>
      <c r="E12" s="542"/>
      <c r="F12" s="219" t="s">
        <v>150</v>
      </c>
      <c r="G12" s="540"/>
      <c r="H12" s="542"/>
      <c r="I12" s="220" t="s">
        <v>149</v>
      </c>
      <c r="J12" s="540"/>
      <c r="K12" s="541"/>
      <c r="L12" s="541"/>
      <c r="M12" s="221" t="s">
        <v>150</v>
      </c>
      <c r="N12" s="540"/>
      <c r="O12" s="541"/>
      <c r="P12" s="541"/>
      <c r="Q12" s="220" t="s">
        <v>149</v>
      </c>
      <c r="R12" s="540"/>
      <c r="S12" s="541"/>
      <c r="T12" s="541"/>
      <c r="U12" s="222" t="s">
        <v>150</v>
      </c>
      <c r="V12" s="540"/>
      <c r="W12" s="541"/>
      <c r="X12" s="565"/>
      <c r="Y12" s="313" t="s">
        <v>149</v>
      </c>
      <c r="Z12" s="540"/>
      <c r="AA12" s="541"/>
      <c r="AB12" s="542"/>
      <c r="AC12" s="218" t="s">
        <v>150</v>
      </c>
      <c r="AD12" s="540"/>
      <c r="AE12" s="541"/>
      <c r="AF12" s="585"/>
      <c r="AG12" s="203" t="s">
        <v>175</v>
      </c>
      <c r="AH12" s="522">
        <f t="shared" si="0"/>
        <v>0</v>
      </c>
      <c r="AI12" s="539"/>
      <c r="AJ12" s="523"/>
      <c r="AK12" s="537" t="s">
        <v>175</v>
      </c>
      <c r="AL12" s="538"/>
      <c r="AM12" s="522">
        <f t="shared" si="1"/>
        <v>0</v>
      </c>
      <c r="AN12" s="539"/>
      <c r="AO12" s="523"/>
      <c r="AP12" s="537" t="s">
        <v>175</v>
      </c>
      <c r="AQ12" s="538"/>
      <c r="AR12" s="550" t="str">
        <f t="shared" si="2"/>
        <v/>
      </c>
      <c r="AS12" s="551"/>
      <c r="AT12" s="551"/>
      <c r="AU12" s="551"/>
      <c r="AV12" s="552"/>
      <c r="AW12" s="204"/>
    </row>
    <row r="13" spans="1:52" ht="17.25" thickBot="1">
      <c r="A13" s="223"/>
      <c r="B13" s="192"/>
      <c r="C13" s="224"/>
      <c r="D13" s="224"/>
      <c r="E13" s="225"/>
      <c r="F13" s="192"/>
      <c r="G13" s="225"/>
      <c r="H13" s="225"/>
      <c r="I13" s="224"/>
      <c r="J13" s="226"/>
      <c r="K13" s="226"/>
      <c r="L13" s="226"/>
      <c r="M13" s="226"/>
      <c r="N13" s="226"/>
      <c r="O13" s="226"/>
      <c r="P13" s="226"/>
      <c r="Q13" s="224"/>
      <c r="R13" s="226"/>
      <c r="S13" s="226"/>
      <c r="T13" s="226"/>
      <c r="U13" s="226"/>
      <c r="V13" s="226"/>
      <c r="W13" s="226"/>
      <c r="X13" s="226"/>
      <c r="AB13" s="224"/>
      <c r="AC13" s="224"/>
      <c r="AD13" s="227"/>
      <c r="AE13" s="227"/>
      <c r="AF13" s="227"/>
      <c r="AG13" s="228" t="s">
        <v>147</v>
      </c>
      <c r="AH13" s="569">
        <f>SUM(AH7:AH12)</f>
        <v>0</v>
      </c>
      <c r="AI13" s="546"/>
      <c r="AJ13" s="547"/>
      <c r="AK13" s="535" t="s">
        <v>147</v>
      </c>
      <c r="AL13" s="536"/>
      <c r="AM13" s="546">
        <f>SUM(AM7:AM12)</f>
        <v>0</v>
      </c>
      <c r="AN13" s="546"/>
      <c r="AO13" s="547"/>
      <c r="AP13" s="548" t="s">
        <v>147</v>
      </c>
      <c r="AQ13" s="549"/>
      <c r="AR13" s="553">
        <f>SUM(AR7:AR12)</f>
        <v>0</v>
      </c>
      <c r="AS13" s="554"/>
      <c r="AT13" s="554"/>
      <c r="AU13" s="554"/>
      <c r="AV13" s="555"/>
      <c r="AW13" s="223"/>
    </row>
    <row r="14" spans="1:52" ht="9.75" customHeight="1" thickBot="1"/>
    <row r="15" spans="1:52" s="229" customFormat="1" ht="11.25" customHeight="1" thickBot="1">
      <c r="A15" s="532" t="s">
        <v>176</v>
      </c>
      <c r="B15" s="533"/>
      <c r="C15" s="543"/>
      <c r="D15" s="544"/>
      <c r="E15" s="532" t="s">
        <v>177</v>
      </c>
      <c r="F15" s="533"/>
      <c r="G15" s="543"/>
      <c r="H15" s="544"/>
      <c r="I15" s="532" t="s">
        <v>178</v>
      </c>
      <c r="J15" s="533"/>
      <c r="K15" s="543"/>
      <c r="L15" s="544"/>
      <c r="M15" s="532" t="s">
        <v>179</v>
      </c>
      <c r="N15" s="533"/>
      <c r="O15" s="543"/>
      <c r="P15" s="544"/>
      <c r="Q15" s="532" t="s">
        <v>180</v>
      </c>
      <c r="R15" s="533"/>
      <c r="S15" s="543"/>
      <c r="T15" s="544"/>
      <c r="U15" s="532" t="s">
        <v>181</v>
      </c>
      <c r="V15" s="533"/>
      <c r="W15" s="543"/>
      <c r="X15" s="544"/>
      <c r="Y15" s="532" t="s">
        <v>182</v>
      </c>
      <c r="Z15" s="533"/>
      <c r="AA15" s="543"/>
      <c r="AB15" s="544"/>
      <c r="AC15" s="532" t="s">
        <v>183</v>
      </c>
      <c r="AD15" s="533"/>
      <c r="AE15" s="533"/>
      <c r="AF15" s="534"/>
      <c r="AG15" s="532" t="s">
        <v>184</v>
      </c>
      <c r="AH15" s="533"/>
      <c r="AI15" s="543"/>
      <c r="AJ15" s="544"/>
      <c r="AK15" s="532" t="s">
        <v>185</v>
      </c>
      <c r="AL15" s="533"/>
      <c r="AM15" s="543"/>
      <c r="AN15" s="544"/>
      <c r="AO15" s="532" t="s">
        <v>186</v>
      </c>
      <c r="AP15" s="533"/>
      <c r="AQ15" s="543"/>
      <c r="AR15" s="544"/>
      <c r="AS15" s="532" t="s">
        <v>187</v>
      </c>
      <c r="AT15" s="533"/>
      <c r="AU15" s="533"/>
      <c r="AV15" s="534"/>
    </row>
    <row r="16" spans="1:52" s="189" customFormat="1" ht="10.7" customHeight="1" thickBot="1">
      <c r="A16" s="230" t="s">
        <v>148</v>
      </c>
      <c r="B16" s="231">
        <v>1</v>
      </c>
      <c r="C16" s="350">
        <f>IF(A16=0,0,$AM8)</f>
        <v>0</v>
      </c>
      <c r="D16" s="232"/>
      <c r="E16" s="233" t="s">
        <v>152</v>
      </c>
      <c r="F16" s="231">
        <v>1</v>
      </c>
      <c r="G16" s="350">
        <f>IF(E16=0,0,$AM10)</f>
        <v>0</v>
      </c>
      <c r="H16" s="232"/>
      <c r="I16" s="233" t="s">
        <v>155</v>
      </c>
      <c r="J16" s="234">
        <v>1</v>
      </c>
      <c r="K16" s="235" t="s">
        <v>188</v>
      </c>
      <c r="L16" s="236">
        <f>SUM(G41:G46,K16)</f>
        <v>0</v>
      </c>
      <c r="M16" s="233" t="s">
        <v>148</v>
      </c>
      <c r="N16" s="237">
        <v>1</v>
      </c>
      <c r="O16" s="350">
        <f>IF(M16=0,0,$AM8)</f>
        <v>0</v>
      </c>
      <c r="P16" s="232"/>
      <c r="Q16" s="233" t="s">
        <v>153</v>
      </c>
      <c r="R16" s="234">
        <v>1</v>
      </c>
      <c r="S16" s="235"/>
      <c r="T16" s="365" t="s">
        <v>189</v>
      </c>
      <c r="U16" s="233" t="s">
        <v>170</v>
      </c>
      <c r="V16" s="237">
        <v>1</v>
      </c>
      <c r="W16" s="350">
        <f t="shared" ref="W16:W21" si="3">IF(U16=0,0,$AM7)</f>
        <v>0</v>
      </c>
      <c r="X16" s="232"/>
      <c r="Y16" s="238" t="s">
        <v>170</v>
      </c>
      <c r="Z16" s="237">
        <v>1</v>
      </c>
      <c r="AA16" s="353">
        <f>+IF(Y16=0,0,$AM7)</f>
        <v>0</v>
      </c>
      <c r="AB16" s="239"/>
      <c r="AC16" s="233" t="s">
        <v>152</v>
      </c>
      <c r="AD16" s="231">
        <v>1</v>
      </c>
      <c r="AE16" s="350">
        <f>IF(AC16=0,0,$AM10)</f>
        <v>0</v>
      </c>
      <c r="AF16" s="232"/>
      <c r="AG16" s="233" t="s">
        <v>154</v>
      </c>
      <c r="AH16" s="231">
        <v>1</v>
      </c>
      <c r="AI16" s="235"/>
      <c r="AJ16" s="365" t="s">
        <v>190</v>
      </c>
      <c r="AK16" s="233" t="s">
        <v>148</v>
      </c>
      <c r="AL16" s="231">
        <v>1</v>
      </c>
      <c r="AM16" s="350">
        <f>IF(AK16=0,0,$AM8)</f>
        <v>0</v>
      </c>
      <c r="AN16" s="232"/>
      <c r="AO16" s="233" t="s">
        <v>152</v>
      </c>
      <c r="AP16" s="237">
        <v>1</v>
      </c>
      <c r="AQ16" s="350">
        <f>IF(AO16=0,0,$AM10)</f>
        <v>0</v>
      </c>
      <c r="AR16" s="232"/>
      <c r="AS16" s="238" t="s">
        <v>155</v>
      </c>
      <c r="AT16" s="245">
        <v>1</v>
      </c>
      <c r="AU16" s="351">
        <f>IF(AS16=0,0,' Horaires hors période scolaire'!$N10)</f>
        <v>0</v>
      </c>
      <c r="AV16" s="249">
        <f>SUM(AQ42:AQ46,AU16)</f>
        <v>0</v>
      </c>
      <c r="AY16" s="241"/>
    </row>
    <row r="17" spans="1:51" s="189" customFormat="1" ht="10.7" customHeight="1" thickBot="1">
      <c r="A17" s="242" t="s">
        <v>151</v>
      </c>
      <c r="B17" s="243">
        <v>2</v>
      </c>
      <c r="C17" s="351">
        <f>IF(A17=0,0,$AM9)</f>
        <v>0</v>
      </c>
      <c r="D17" s="244"/>
      <c r="E17" s="238" t="s">
        <v>153</v>
      </c>
      <c r="F17" s="243">
        <v>2</v>
      </c>
      <c r="G17" s="351">
        <f>IF(E17=0,0,$AM11)</f>
        <v>0</v>
      </c>
      <c r="H17" s="244"/>
      <c r="I17" s="238" t="s">
        <v>170</v>
      </c>
      <c r="J17" s="245">
        <v>2</v>
      </c>
      <c r="K17" s="354"/>
      <c r="L17" s="244"/>
      <c r="M17" s="238" t="s">
        <v>151</v>
      </c>
      <c r="N17" s="246">
        <v>2</v>
      </c>
      <c r="O17" s="351">
        <f>IF(M17=0,0,$AM9)</f>
        <v>0</v>
      </c>
      <c r="P17" s="244"/>
      <c r="Q17" s="238" t="s">
        <v>154</v>
      </c>
      <c r="R17" s="245">
        <v>2</v>
      </c>
      <c r="S17" s="351">
        <f>IF(Q17=0,0,' Horaires hors période scolaire'!$N9)</f>
        <v>0</v>
      </c>
      <c r="T17" s="244"/>
      <c r="U17" s="238" t="s">
        <v>148</v>
      </c>
      <c r="V17" s="246">
        <v>2</v>
      </c>
      <c r="W17" s="351">
        <f t="shared" si="3"/>
        <v>0</v>
      </c>
      <c r="X17" s="244"/>
      <c r="Y17" s="238" t="s">
        <v>148</v>
      </c>
      <c r="Z17" s="243">
        <v>2</v>
      </c>
      <c r="AA17" s="351">
        <f>IF(Y17=0,0,$AM8)</f>
        <v>0</v>
      </c>
      <c r="AB17" s="247"/>
      <c r="AC17" s="238" t="s">
        <v>153</v>
      </c>
      <c r="AD17" s="243">
        <v>2</v>
      </c>
      <c r="AE17" s="351">
        <f>IF(AC17=0,0,$AM11)</f>
        <v>0</v>
      </c>
      <c r="AF17" s="244"/>
      <c r="AG17" s="238" t="s">
        <v>155</v>
      </c>
      <c r="AH17" s="243">
        <v>2</v>
      </c>
      <c r="AI17" s="355"/>
      <c r="AJ17" s="249">
        <f>SUM(AE41:AE45,AI16)</f>
        <v>0</v>
      </c>
      <c r="AK17" s="238" t="s">
        <v>151</v>
      </c>
      <c r="AL17" s="243">
        <v>2</v>
      </c>
      <c r="AM17" s="351">
        <f>IF(AK17=0,0,$AM9)</f>
        <v>0</v>
      </c>
      <c r="AN17" s="244"/>
      <c r="AO17" s="238" t="s">
        <v>153</v>
      </c>
      <c r="AP17" s="243">
        <v>2</v>
      </c>
      <c r="AQ17" s="351">
        <f>IF(AO17=0,0,$AM11)</f>
        <v>0</v>
      </c>
      <c r="AR17" s="244"/>
      <c r="AS17" s="238" t="s">
        <v>170</v>
      </c>
      <c r="AT17" s="245">
        <v>2</v>
      </c>
      <c r="AU17" s="359"/>
      <c r="AV17" s="232"/>
      <c r="AY17" s="241"/>
    </row>
    <row r="18" spans="1:51" s="189" customFormat="1" ht="10.7" customHeight="1" thickBot="1">
      <c r="A18" s="242" t="s">
        <v>152</v>
      </c>
      <c r="B18" s="243">
        <v>3</v>
      </c>
      <c r="C18" s="351">
        <f>IF(A18=0,0,$AM10)</f>
        <v>0</v>
      </c>
      <c r="D18" s="244"/>
      <c r="E18" s="238" t="s">
        <v>154</v>
      </c>
      <c r="F18" s="243">
        <v>3</v>
      </c>
      <c r="G18" s="351">
        <f>IF(E18=0,0,$AM12)</f>
        <v>0</v>
      </c>
      <c r="H18" s="244"/>
      <c r="I18" s="238" t="s">
        <v>148</v>
      </c>
      <c r="J18" s="243">
        <v>3</v>
      </c>
      <c r="K18" s="354">
        <f>IF(I18=0,0,$AM8)</f>
        <v>0</v>
      </c>
      <c r="L18" s="244"/>
      <c r="M18" s="238" t="s">
        <v>152</v>
      </c>
      <c r="N18" s="246">
        <v>3</v>
      </c>
      <c r="O18" s="351">
        <f>IF(M18=0,0,$AM10)</f>
        <v>0</v>
      </c>
      <c r="P18" s="244"/>
      <c r="Q18" s="238" t="s">
        <v>155</v>
      </c>
      <c r="R18" s="245">
        <v>3</v>
      </c>
      <c r="S18" s="351">
        <f>IF(Q18=0,0,' Horaires hors période scolaire'!$N10)</f>
        <v>0</v>
      </c>
      <c r="T18" s="249">
        <f>SUM(O44:O46,S16:S18)</f>
        <v>0</v>
      </c>
      <c r="U18" s="238" t="s">
        <v>151</v>
      </c>
      <c r="V18" s="246">
        <v>3</v>
      </c>
      <c r="W18" s="351">
        <f t="shared" si="3"/>
        <v>0</v>
      </c>
      <c r="X18" s="244"/>
      <c r="Y18" s="238" t="s">
        <v>151</v>
      </c>
      <c r="Z18" s="243">
        <v>3</v>
      </c>
      <c r="AA18" s="351">
        <f>IF(Y18=0,0,$AM9)</f>
        <v>0</v>
      </c>
      <c r="AB18" s="247"/>
      <c r="AC18" s="238" t="s">
        <v>154</v>
      </c>
      <c r="AD18" s="243">
        <v>3</v>
      </c>
      <c r="AE18" s="351">
        <f>IF(AC18=0,0,$AM12)</f>
        <v>0</v>
      </c>
      <c r="AF18" s="244"/>
      <c r="AG18" s="238" t="s">
        <v>170</v>
      </c>
      <c r="AH18" s="243">
        <v>3</v>
      </c>
      <c r="AI18" s="350">
        <f>IF(AG18=0,0,$AM7)</f>
        <v>0</v>
      </c>
      <c r="AJ18" s="232"/>
      <c r="AK18" s="238" t="s">
        <v>152</v>
      </c>
      <c r="AL18" s="246">
        <v>3</v>
      </c>
      <c r="AM18" s="351">
        <f>IF(AK18=0,0,$AM10)</f>
        <v>0</v>
      </c>
      <c r="AN18" s="244"/>
      <c r="AO18" s="238" t="s">
        <v>154</v>
      </c>
      <c r="AP18" s="243">
        <v>3</v>
      </c>
      <c r="AQ18" s="351">
        <f>IF(AO18=0,0,$AM12)</f>
        <v>0</v>
      </c>
      <c r="AR18" s="244"/>
      <c r="AS18" s="238" t="s">
        <v>148</v>
      </c>
      <c r="AT18" s="245">
        <v>3</v>
      </c>
      <c r="AU18" s="351">
        <f>IF(AS18=0,0,' Horaires hors période scolaire'!$N5)</f>
        <v>0</v>
      </c>
      <c r="AV18" s="244"/>
      <c r="AY18" s="241"/>
    </row>
    <row r="19" spans="1:51" s="189" customFormat="1" ht="10.7" customHeight="1" thickBot="1">
      <c r="A19" s="242" t="s">
        <v>153</v>
      </c>
      <c r="B19" s="243">
        <v>4</v>
      </c>
      <c r="C19" s="351">
        <f>IF(A19=0,0,$AM11)</f>
        <v>0</v>
      </c>
      <c r="D19" s="244"/>
      <c r="E19" s="238" t="s">
        <v>155</v>
      </c>
      <c r="F19" s="243">
        <v>4</v>
      </c>
      <c r="G19" s="356"/>
      <c r="H19" s="249">
        <f>SUM(C43:C45,G16:G18)</f>
        <v>0</v>
      </c>
      <c r="I19" s="238" t="s">
        <v>151</v>
      </c>
      <c r="J19" s="243">
        <v>4</v>
      </c>
      <c r="K19" s="354">
        <f>IF(I19=0,0,$AM9)</f>
        <v>0</v>
      </c>
      <c r="L19" s="244"/>
      <c r="M19" s="238" t="s">
        <v>153</v>
      </c>
      <c r="N19" s="246">
        <v>4</v>
      </c>
      <c r="O19" s="351">
        <f>IF(M19=0,0,$AM11)</f>
        <v>0</v>
      </c>
      <c r="P19" s="244"/>
      <c r="Q19" s="238" t="s">
        <v>170</v>
      </c>
      <c r="R19" s="245">
        <v>4</v>
      </c>
      <c r="S19" s="353">
        <f t="shared" ref="S19:S24" si="4">IF(Q19=0,0,$AM7)</f>
        <v>0</v>
      </c>
      <c r="T19" s="232"/>
      <c r="U19" s="238" t="s">
        <v>152</v>
      </c>
      <c r="V19" s="246">
        <v>4</v>
      </c>
      <c r="W19" s="351">
        <f t="shared" si="3"/>
        <v>0</v>
      </c>
      <c r="X19" s="244"/>
      <c r="Y19" s="238" t="s">
        <v>152</v>
      </c>
      <c r="Z19" s="243">
        <v>4</v>
      </c>
      <c r="AA19" s="351">
        <f>IF(Y19=0,0,$AM10)</f>
        <v>0</v>
      </c>
      <c r="AB19" s="247"/>
      <c r="AC19" s="238" t="s">
        <v>155</v>
      </c>
      <c r="AD19" s="245">
        <v>4</v>
      </c>
      <c r="AE19" s="355"/>
      <c r="AF19" s="249">
        <f>SUM(AA44:AA46,AE16:AE18)</f>
        <v>0</v>
      </c>
      <c r="AG19" s="238" t="s">
        <v>148</v>
      </c>
      <c r="AH19" s="243">
        <v>4</v>
      </c>
      <c r="AI19" s="351">
        <f>IF(AG19=0,0,$AM8)</f>
        <v>0</v>
      </c>
      <c r="AJ19" s="244"/>
      <c r="AK19" s="238" t="s">
        <v>153</v>
      </c>
      <c r="AL19" s="246">
        <v>4</v>
      </c>
      <c r="AM19" s="351">
        <f>IF(AK19=0,0,$AM11)</f>
        <v>0</v>
      </c>
      <c r="AN19" s="244"/>
      <c r="AO19" s="238" t="s">
        <v>155</v>
      </c>
      <c r="AP19" s="245">
        <v>4</v>
      </c>
      <c r="AQ19" s="355"/>
      <c r="AR19" s="249">
        <f>SUM(AM43:AM45,AQ16:AQ18)</f>
        <v>0</v>
      </c>
      <c r="AS19" s="238" t="s">
        <v>151</v>
      </c>
      <c r="AT19" s="245">
        <v>4</v>
      </c>
      <c r="AU19" s="351">
        <f>IF(AS19=0,0,' Horaires hors période scolaire'!$N6)</f>
        <v>0</v>
      </c>
      <c r="AV19" s="244"/>
      <c r="AY19" s="241"/>
    </row>
    <row r="20" spans="1:51" s="189" customFormat="1" ht="10.7" customHeight="1">
      <c r="A20" s="242" t="s">
        <v>154</v>
      </c>
      <c r="B20" s="243">
        <v>5</v>
      </c>
      <c r="C20" s="351"/>
      <c r="D20" s="244"/>
      <c r="E20" s="238" t="s">
        <v>170</v>
      </c>
      <c r="F20" s="243">
        <v>5</v>
      </c>
      <c r="G20" s="350">
        <f t="shared" ref="G20:G25" si="5">IF(E20=0,0,$AM7)</f>
        <v>0</v>
      </c>
      <c r="H20" s="232"/>
      <c r="I20" s="238" t="s">
        <v>152</v>
      </c>
      <c r="J20" s="243">
        <v>5</v>
      </c>
      <c r="K20" s="354">
        <f>IF(I20=0,0,$AM10)</f>
        <v>0</v>
      </c>
      <c r="L20" s="244"/>
      <c r="M20" s="238" t="s">
        <v>154</v>
      </c>
      <c r="N20" s="246">
        <v>5</v>
      </c>
      <c r="O20" s="351">
        <f>IF(M20=0,0,$AM12)</f>
        <v>0</v>
      </c>
      <c r="P20" s="244"/>
      <c r="Q20" s="238" t="s">
        <v>148</v>
      </c>
      <c r="R20" s="243">
        <v>5</v>
      </c>
      <c r="S20" s="354">
        <f t="shared" si="4"/>
        <v>0</v>
      </c>
      <c r="T20" s="244"/>
      <c r="U20" s="238" t="s">
        <v>153</v>
      </c>
      <c r="V20" s="246">
        <v>5</v>
      </c>
      <c r="W20" s="351">
        <f t="shared" si="3"/>
        <v>0</v>
      </c>
      <c r="X20" s="244"/>
      <c r="Y20" s="238" t="s">
        <v>153</v>
      </c>
      <c r="Z20" s="243">
        <v>5</v>
      </c>
      <c r="AA20" s="351">
        <f>IF(Y20=0,0,$AM11)</f>
        <v>0</v>
      </c>
      <c r="AB20" s="247"/>
      <c r="AC20" s="238" t="s">
        <v>170</v>
      </c>
      <c r="AD20" s="245">
        <v>5</v>
      </c>
      <c r="AE20" s="353"/>
      <c r="AF20" s="232"/>
      <c r="AG20" s="238" t="s">
        <v>151</v>
      </c>
      <c r="AH20" s="243">
        <v>5</v>
      </c>
      <c r="AI20" s="351">
        <f>IF(AG20=0,0,$AM9)</f>
        <v>0</v>
      </c>
      <c r="AJ20" s="244"/>
      <c r="AK20" s="238" t="s">
        <v>154</v>
      </c>
      <c r="AL20" s="243">
        <v>5</v>
      </c>
      <c r="AM20" s="351">
        <f>IF(AK20=0,0,$AM12)</f>
        <v>0</v>
      </c>
      <c r="AN20" s="244"/>
      <c r="AO20" s="238" t="s">
        <v>170</v>
      </c>
      <c r="AP20" s="245">
        <v>5</v>
      </c>
      <c r="AQ20" s="351"/>
      <c r="AR20" s="232"/>
      <c r="AS20" s="238" t="s">
        <v>152</v>
      </c>
      <c r="AT20" s="245">
        <v>5</v>
      </c>
      <c r="AU20" s="351">
        <f>IF(AS20=0,0,' Horaires hors période scolaire'!$N7)</f>
        <v>0</v>
      </c>
      <c r="AV20" s="244"/>
      <c r="AY20" s="241"/>
    </row>
    <row r="21" spans="1:51" s="189" customFormat="1" ht="10.7" customHeight="1" thickBot="1">
      <c r="A21" s="242" t="s">
        <v>155</v>
      </c>
      <c r="B21" s="243">
        <v>6</v>
      </c>
      <c r="C21" s="352"/>
      <c r="D21" s="252">
        <f>SUM(C16:C20)</f>
        <v>0</v>
      </c>
      <c r="E21" s="238" t="s">
        <v>148</v>
      </c>
      <c r="F21" s="243">
        <v>6</v>
      </c>
      <c r="G21" s="351">
        <f t="shared" si="5"/>
        <v>0</v>
      </c>
      <c r="H21" s="244"/>
      <c r="I21" s="238" t="s">
        <v>153</v>
      </c>
      <c r="J21" s="243">
        <v>6</v>
      </c>
      <c r="K21" s="354">
        <f>IF(I21=0,0,$AM11)</f>
        <v>0</v>
      </c>
      <c r="L21" s="244"/>
      <c r="M21" s="238" t="s">
        <v>155</v>
      </c>
      <c r="N21" s="246">
        <v>6</v>
      </c>
      <c r="O21" s="314"/>
      <c r="P21" s="249">
        <f>SUM(K45,O16:O20)</f>
        <v>0</v>
      </c>
      <c r="Q21" s="238" t="s">
        <v>151</v>
      </c>
      <c r="R21" s="243">
        <v>6</v>
      </c>
      <c r="S21" s="354">
        <f t="shared" si="4"/>
        <v>0</v>
      </c>
      <c r="T21" s="244"/>
      <c r="U21" s="238" t="s">
        <v>154</v>
      </c>
      <c r="V21" s="243">
        <v>6</v>
      </c>
      <c r="W21" s="351">
        <f t="shared" si="3"/>
        <v>0</v>
      </c>
      <c r="X21" s="244"/>
      <c r="Y21" s="238" t="s">
        <v>154</v>
      </c>
      <c r="Z21" s="243">
        <v>6</v>
      </c>
      <c r="AA21" s="351">
        <f>IF(Y21=0,0,$AM12)</f>
        <v>0</v>
      </c>
      <c r="AB21" s="247"/>
      <c r="AC21" s="238" t="s">
        <v>148</v>
      </c>
      <c r="AD21" s="253">
        <v>6</v>
      </c>
      <c r="AE21" s="254"/>
      <c r="AF21" s="364" t="s">
        <v>191</v>
      </c>
      <c r="AG21" s="238" t="s">
        <v>152</v>
      </c>
      <c r="AH21" s="243">
        <v>6</v>
      </c>
      <c r="AI21" s="351">
        <f>IF(AG21=0,0,$AM10)</f>
        <v>0</v>
      </c>
      <c r="AJ21" s="244"/>
      <c r="AK21" s="238" t="s">
        <v>155</v>
      </c>
      <c r="AL21" s="243">
        <v>6</v>
      </c>
      <c r="AM21" s="355"/>
      <c r="AN21" s="249">
        <f>SUM(AI46,AM16:AM20)</f>
        <v>0</v>
      </c>
      <c r="AO21" s="238" t="s">
        <v>148</v>
      </c>
      <c r="AP21" s="245">
        <v>6</v>
      </c>
      <c r="AQ21" s="351">
        <f>IF(AO21=0,0,' Horaires hors période scolaire'!$N5)</f>
        <v>0</v>
      </c>
      <c r="AR21" s="244"/>
      <c r="AS21" s="238" t="s">
        <v>153</v>
      </c>
      <c r="AT21" s="245">
        <v>6</v>
      </c>
      <c r="AU21" s="351">
        <f>IF(AS21=0,0,' Horaires hors période scolaire'!$N8)</f>
        <v>0</v>
      </c>
      <c r="AV21" s="244"/>
    </row>
    <row r="22" spans="1:51" s="189" customFormat="1" ht="10.7" customHeight="1" thickBot="1">
      <c r="A22" s="242" t="s">
        <v>170</v>
      </c>
      <c r="B22" s="243">
        <v>7</v>
      </c>
      <c r="C22" s="353">
        <f t="shared" ref="C22:C27" si="6">IF(A22=0,0,$AM7)</f>
        <v>0</v>
      </c>
      <c r="D22" s="232"/>
      <c r="E22" s="238" t="s">
        <v>151</v>
      </c>
      <c r="F22" s="243">
        <v>7</v>
      </c>
      <c r="G22" s="351">
        <f t="shared" si="5"/>
        <v>0</v>
      </c>
      <c r="H22" s="244"/>
      <c r="I22" s="238" t="s">
        <v>154</v>
      </c>
      <c r="J22" s="243">
        <v>7</v>
      </c>
      <c r="K22" s="354">
        <f>IF(I22=0,0,$AM12)</f>
        <v>0</v>
      </c>
      <c r="L22" s="244"/>
      <c r="M22" s="238" t="s">
        <v>170</v>
      </c>
      <c r="N22" s="246">
        <v>7</v>
      </c>
      <c r="O22" s="351">
        <f t="shared" ref="O22:O27" si="7">IF(M22=0,0,$AM7)</f>
        <v>0</v>
      </c>
      <c r="P22" s="232"/>
      <c r="Q22" s="238" t="s">
        <v>152</v>
      </c>
      <c r="R22" s="243">
        <v>7</v>
      </c>
      <c r="S22" s="354">
        <f t="shared" si="4"/>
        <v>0</v>
      </c>
      <c r="T22" s="244"/>
      <c r="U22" s="238" t="s">
        <v>155</v>
      </c>
      <c r="V22" s="245">
        <v>7</v>
      </c>
      <c r="W22" s="355"/>
      <c r="X22" s="249">
        <f>SUM(W16:W21)</f>
        <v>0</v>
      </c>
      <c r="Y22" s="238" t="s">
        <v>155</v>
      </c>
      <c r="Z22" s="243">
        <v>7</v>
      </c>
      <c r="AA22" s="355"/>
      <c r="AB22" s="249">
        <f>SUM(AA16:AA21)</f>
        <v>0</v>
      </c>
      <c r="AC22" s="238" t="s">
        <v>151</v>
      </c>
      <c r="AD22" s="245">
        <v>7</v>
      </c>
      <c r="AE22" s="351">
        <f>IF(AC22=0,0,' Horaires hors période scolaire'!$N6)</f>
        <v>0</v>
      </c>
      <c r="AF22" s="244"/>
      <c r="AG22" s="238" t="s">
        <v>153</v>
      </c>
      <c r="AH22" s="243">
        <v>7</v>
      </c>
      <c r="AI22" s="351">
        <f>IF(AG22=0,0,$AM11)</f>
        <v>0</v>
      </c>
      <c r="AJ22" s="244"/>
      <c r="AK22" s="238" t="s">
        <v>170</v>
      </c>
      <c r="AL22" s="246">
        <v>7</v>
      </c>
      <c r="AM22" s="350">
        <f t="shared" ref="AM22:AM27" si="8">IF(AK22=0,0,$AM7)</f>
        <v>0</v>
      </c>
      <c r="AN22" s="232"/>
      <c r="AO22" s="238" t="s">
        <v>151</v>
      </c>
      <c r="AP22" s="245">
        <v>7</v>
      </c>
      <c r="AQ22" s="351">
        <f>IF(AO22=0,0,' Horaires hors période scolaire'!$N6)</f>
        <v>0</v>
      </c>
      <c r="AR22" s="244"/>
      <c r="AS22" s="238" t="s">
        <v>154</v>
      </c>
      <c r="AT22" s="245">
        <v>7</v>
      </c>
      <c r="AU22" s="351">
        <f>IF(AS22=0,0,' Horaires hors période scolaire'!$N9)</f>
        <v>0</v>
      </c>
      <c r="AV22" s="244"/>
    </row>
    <row r="23" spans="1:51" s="189" customFormat="1" ht="10.7" customHeight="1" thickBot="1">
      <c r="A23" s="242" t="s">
        <v>148</v>
      </c>
      <c r="B23" s="243">
        <v>8</v>
      </c>
      <c r="C23" s="354">
        <f t="shared" si="6"/>
        <v>0</v>
      </c>
      <c r="D23" s="244"/>
      <c r="E23" s="238" t="s">
        <v>152</v>
      </c>
      <c r="F23" s="243">
        <v>8</v>
      </c>
      <c r="G23" s="351">
        <f t="shared" si="5"/>
        <v>0</v>
      </c>
      <c r="H23" s="244"/>
      <c r="I23" s="238" t="s">
        <v>155</v>
      </c>
      <c r="J23" s="243">
        <v>8</v>
      </c>
      <c r="K23" s="355"/>
      <c r="L23" s="249">
        <f>SUM(K17:K22)</f>
        <v>0</v>
      </c>
      <c r="M23" s="238" t="s">
        <v>148</v>
      </c>
      <c r="N23" s="246">
        <v>8</v>
      </c>
      <c r="O23" s="351">
        <f t="shared" si="7"/>
        <v>0</v>
      </c>
      <c r="P23" s="244"/>
      <c r="Q23" s="238" t="s">
        <v>153</v>
      </c>
      <c r="R23" s="246">
        <v>8</v>
      </c>
      <c r="S23" s="354">
        <f t="shared" si="4"/>
        <v>0</v>
      </c>
      <c r="T23" s="244"/>
      <c r="U23" s="238" t="s">
        <v>170</v>
      </c>
      <c r="V23" s="245">
        <v>8</v>
      </c>
      <c r="W23" s="350"/>
      <c r="X23" s="232"/>
      <c r="Y23" s="238" t="s">
        <v>170</v>
      </c>
      <c r="Z23" s="243">
        <v>8</v>
      </c>
      <c r="AA23" s="350">
        <f t="shared" ref="AA23:AA28" si="9">IF(Y23=0,0,$AM7)</f>
        <v>0</v>
      </c>
      <c r="AB23" s="239"/>
      <c r="AC23" s="238" t="s">
        <v>152</v>
      </c>
      <c r="AD23" s="245">
        <v>8</v>
      </c>
      <c r="AE23" s="351">
        <f>IF(AC23=0,0,' Horaires hors période scolaire'!$N7)</f>
        <v>0</v>
      </c>
      <c r="AF23" s="244"/>
      <c r="AG23" s="238" t="s">
        <v>154</v>
      </c>
      <c r="AH23" s="255">
        <v>8</v>
      </c>
      <c r="AI23" s="254"/>
      <c r="AJ23" s="364" t="s">
        <v>192</v>
      </c>
      <c r="AK23" s="238" t="s">
        <v>148</v>
      </c>
      <c r="AL23" s="246">
        <v>8</v>
      </c>
      <c r="AM23" s="351">
        <f t="shared" si="8"/>
        <v>0</v>
      </c>
      <c r="AN23" s="244"/>
      <c r="AO23" s="238" t="s">
        <v>152</v>
      </c>
      <c r="AP23" s="245">
        <v>8</v>
      </c>
      <c r="AQ23" s="351">
        <f>IF(AO23=0,0,' Horaires hors période scolaire'!$N7)</f>
        <v>0</v>
      </c>
      <c r="AR23" s="244"/>
      <c r="AS23" s="238" t="s">
        <v>155</v>
      </c>
      <c r="AT23" s="245">
        <v>8</v>
      </c>
      <c r="AU23" s="351">
        <f>IF(AS23=0,0,' Horaires hors période scolaire'!$N10)</f>
        <v>0</v>
      </c>
      <c r="AV23" s="249">
        <f>SUM(AU18:AU23)</f>
        <v>0</v>
      </c>
    </row>
    <row r="24" spans="1:51" s="189" customFormat="1" ht="10.7" customHeight="1" thickBot="1">
      <c r="A24" s="242" t="s">
        <v>151</v>
      </c>
      <c r="B24" s="243">
        <v>9</v>
      </c>
      <c r="C24" s="354">
        <f t="shared" si="6"/>
        <v>0</v>
      </c>
      <c r="D24" s="244"/>
      <c r="E24" s="238" t="s">
        <v>153</v>
      </c>
      <c r="F24" s="243">
        <v>9</v>
      </c>
      <c r="G24" s="351">
        <f t="shared" si="5"/>
        <v>0</v>
      </c>
      <c r="H24" s="244"/>
      <c r="I24" s="238" t="s">
        <v>170</v>
      </c>
      <c r="J24" s="243">
        <v>9</v>
      </c>
      <c r="K24" s="353">
        <f t="shared" ref="K24:K29" si="10">IF(I24=0,0,$AM7)</f>
        <v>0</v>
      </c>
      <c r="L24" s="232"/>
      <c r="M24" s="238" t="s">
        <v>151</v>
      </c>
      <c r="N24" s="246">
        <v>9</v>
      </c>
      <c r="O24" s="351">
        <f t="shared" si="7"/>
        <v>0</v>
      </c>
      <c r="P24" s="244"/>
      <c r="Q24" s="238" t="s">
        <v>154</v>
      </c>
      <c r="R24" s="246">
        <v>9</v>
      </c>
      <c r="S24" s="354">
        <f t="shared" si="4"/>
        <v>0</v>
      </c>
      <c r="T24" s="244"/>
      <c r="U24" s="238" t="s">
        <v>148</v>
      </c>
      <c r="V24" s="245">
        <v>9</v>
      </c>
      <c r="W24" s="351">
        <f>IF(U24=0,0,' Horaires hors période scolaire'!$N5)</f>
        <v>0</v>
      </c>
      <c r="X24" s="244"/>
      <c r="Y24" s="238" t="s">
        <v>148</v>
      </c>
      <c r="Z24" s="243">
        <v>9</v>
      </c>
      <c r="AA24" s="351">
        <f t="shared" si="9"/>
        <v>0</v>
      </c>
      <c r="AB24" s="247"/>
      <c r="AC24" s="238" t="s">
        <v>153</v>
      </c>
      <c r="AD24" s="245">
        <v>9</v>
      </c>
      <c r="AE24" s="351">
        <f>IF(AC24=0,0,' Horaires hors période scolaire'!$N8)</f>
        <v>0</v>
      </c>
      <c r="AF24" s="244"/>
      <c r="AG24" s="238" t="s">
        <v>155</v>
      </c>
      <c r="AH24" s="243">
        <v>9</v>
      </c>
      <c r="AI24" s="355"/>
      <c r="AJ24" s="249">
        <f>SUM(AI18:AI23)</f>
        <v>0</v>
      </c>
      <c r="AK24" s="238" t="s">
        <v>151</v>
      </c>
      <c r="AL24" s="243">
        <v>9</v>
      </c>
      <c r="AM24" s="351">
        <f t="shared" si="8"/>
        <v>0</v>
      </c>
      <c r="AN24" s="244"/>
      <c r="AO24" s="238" t="s">
        <v>153</v>
      </c>
      <c r="AP24" s="245">
        <v>9</v>
      </c>
      <c r="AQ24" s="351">
        <f>IF(AO24=0,0,' Horaires hors période scolaire'!$N8)</f>
        <v>0</v>
      </c>
      <c r="AR24" s="244"/>
      <c r="AS24" s="238" t="s">
        <v>170</v>
      </c>
      <c r="AT24" s="245">
        <v>9</v>
      </c>
      <c r="AU24" s="359"/>
      <c r="AV24" s="232"/>
    </row>
    <row r="25" spans="1:51" s="189" customFormat="1" ht="10.7" customHeight="1" thickBot="1">
      <c r="A25" s="242" t="s">
        <v>152</v>
      </c>
      <c r="B25" s="243">
        <v>10</v>
      </c>
      <c r="C25" s="354">
        <f t="shared" si="6"/>
        <v>0</v>
      </c>
      <c r="D25" s="244"/>
      <c r="E25" s="238" t="s">
        <v>154</v>
      </c>
      <c r="F25" s="243">
        <v>10</v>
      </c>
      <c r="G25" s="351">
        <f t="shared" si="5"/>
        <v>0</v>
      </c>
      <c r="H25" s="244"/>
      <c r="I25" s="238" t="s">
        <v>148</v>
      </c>
      <c r="J25" s="243">
        <v>10</v>
      </c>
      <c r="K25" s="351">
        <f t="shared" si="10"/>
        <v>0</v>
      </c>
      <c r="L25" s="244"/>
      <c r="M25" s="238" t="s">
        <v>152</v>
      </c>
      <c r="N25" s="246">
        <v>10</v>
      </c>
      <c r="O25" s="351">
        <f t="shared" si="7"/>
        <v>0</v>
      </c>
      <c r="P25" s="244"/>
      <c r="Q25" s="238" t="s">
        <v>155</v>
      </c>
      <c r="R25" s="246">
        <v>10</v>
      </c>
      <c r="S25" s="355"/>
      <c r="T25" s="249">
        <f>SUM(S19:S24)</f>
        <v>0</v>
      </c>
      <c r="U25" s="238" t="s">
        <v>151</v>
      </c>
      <c r="V25" s="245">
        <v>10</v>
      </c>
      <c r="W25" s="351">
        <f>IF(U25=0,0,' Horaires hors période scolaire'!$N6)</f>
        <v>0</v>
      </c>
      <c r="X25" s="244"/>
      <c r="Y25" s="238" t="s">
        <v>151</v>
      </c>
      <c r="Z25" s="243">
        <v>10</v>
      </c>
      <c r="AA25" s="351">
        <f t="shared" si="9"/>
        <v>0</v>
      </c>
      <c r="AB25" s="247"/>
      <c r="AC25" s="238" t="s">
        <v>154</v>
      </c>
      <c r="AD25" s="245">
        <v>10</v>
      </c>
      <c r="AE25" s="351">
        <f>IF(AC25=0,0,' Horaires hors période scolaire'!$N9)</f>
        <v>0</v>
      </c>
      <c r="AF25" s="244"/>
      <c r="AG25" s="238" t="s">
        <v>170</v>
      </c>
      <c r="AH25" s="243">
        <v>10</v>
      </c>
      <c r="AI25" s="353">
        <f>IF(AG25=0,0,$AM7)</f>
        <v>0</v>
      </c>
      <c r="AJ25" s="232"/>
      <c r="AK25" s="238" t="s">
        <v>152</v>
      </c>
      <c r="AL25" s="246">
        <v>10</v>
      </c>
      <c r="AM25" s="351">
        <f t="shared" si="8"/>
        <v>0</v>
      </c>
      <c r="AN25" s="244"/>
      <c r="AO25" s="238" t="s">
        <v>154</v>
      </c>
      <c r="AP25" s="245">
        <v>10</v>
      </c>
      <c r="AQ25" s="351">
        <f>IF(AO25=0,0,' Horaires hors période scolaire'!$N9)</f>
        <v>0</v>
      </c>
      <c r="AR25" s="244"/>
      <c r="AS25" s="238" t="s">
        <v>148</v>
      </c>
      <c r="AT25" s="245">
        <v>10</v>
      </c>
      <c r="AU25" s="351">
        <f>IF(AS25=0,0,' Horaires hors période scolaire'!$N5)</f>
        <v>0</v>
      </c>
      <c r="AV25" s="244"/>
    </row>
    <row r="26" spans="1:51" s="189" customFormat="1" ht="10.7" customHeight="1" thickBot="1">
      <c r="A26" s="242" t="s">
        <v>153</v>
      </c>
      <c r="B26" s="243">
        <v>11</v>
      </c>
      <c r="C26" s="354">
        <f t="shared" si="6"/>
        <v>0</v>
      </c>
      <c r="D26" s="244"/>
      <c r="E26" s="238" t="s">
        <v>155</v>
      </c>
      <c r="F26" s="243">
        <v>11</v>
      </c>
      <c r="G26" s="357"/>
      <c r="H26" s="252">
        <f>SUM(G20:G25)</f>
        <v>0</v>
      </c>
      <c r="I26" s="238" t="s">
        <v>151</v>
      </c>
      <c r="J26" s="253">
        <v>11</v>
      </c>
      <c r="K26" s="363">
        <f t="shared" si="10"/>
        <v>0</v>
      </c>
      <c r="L26" s="364" t="s">
        <v>193</v>
      </c>
      <c r="M26" s="238" t="s">
        <v>153</v>
      </c>
      <c r="N26" s="246">
        <v>11</v>
      </c>
      <c r="O26" s="351">
        <f t="shared" si="7"/>
        <v>0</v>
      </c>
      <c r="P26" s="244"/>
      <c r="Q26" s="238" t="s">
        <v>170</v>
      </c>
      <c r="R26" s="246">
        <v>11</v>
      </c>
      <c r="S26" s="350">
        <f t="shared" ref="S26:S31" si="11">IF(Q26=0,0,$AM7)</f>
        <v>0</v>
      </c>
      <c r="T26" s="232"/>
      <c r="U26" s="238" t="s">
        <v>152</v>
      </c>
      <c r="V26" s="245">
        <v>11</v>
      </c>
      <c r="W26" s="351">
        <f>IF(U26=0,0,' Horaires hors période scolaire'!$N7)</f>
        <v>0</v>
      </c>
      <c r="X26" s="244"/>
      <c r="Y26" s="238" t="s">
        <v>152</v>
      </c>
      <c r="Z26" s="246">
        <v>11</v>
      </c>
      <c r="AA26" s="351">
        <f t="shared" si="9"/>
        <v>0</v>
      </c>
      <c r="AB26" s="247"/>
      <c r="AC26" s="238" t="s">
        <v>155</v>
      </c>
      <c r="AD26" s="245">
        <v>11</v>
      </c>
      <c r="AE26" s="351">
        <f>IF(AC26=0,0,' Horaires hors période scolaire'!$N10)</f>
        <v>0</v>
      </c>
      <c r="AF26" s="249">
        <f>SUM(AE21:AE26)</f>
        <v>0</v>
      </c>
      <c r="AG26" s="238" t="s">
        <v>148</v>
      </c>
      <c r="AH26" s="243">
        <v>11</v>
      </c>
      <c r="AI26" s="354">
        <f>IF(AG26=0,0,$AM8)</f>
        <v>0</v>
      </c>
      <c r="AJ26" s="244"/>
      <c r="AK26" s="238" t="s">
        <v>153</v>
      </c>
      <c r="AL26" s="246">
        <v>11</v>
      </c>
      <c r="AM26" s="351">
        <f t="shared" si="8"/>
        <v>0</v>
      </c>
      <c r="AN26" s="244"/>
      <c r="AO26" s="238" t="s">
        <v>155</v>
      </c>
      <c r="AP26" s="245">
        <v>11</v>
      </c>
      <c r="AQ26" s="351">
        <f>IF(AO26=0,0,' Horaires hors période scolaire'!$N10)</f>
        <v>0</v>
      </c>
      <c r="AR26" s="252">
        <f>SUM(AQ21:AQ26)</f>
        <v>0</v>
      </c>
      <c r="AS26" s="238" t="s">
        <v>151</v>
      </c>
      <c r="AT26" s="245">
        <v>11</v>
      </c>
      <c r="AU26" s="351">
        <f>IF(AS26=0,0,' Horaires hors période scolaire'!$N6)</f>
        <v>0</v>
      </c>
      <c r="AV26" s="244"/>
    </row>
    <row r="27" spans="1:51" s="189" customFormat="1" ht="10.7" customHeight="1">
      <c r="A27" s="242" t="s">
        <v>154</v>
      </c>
      <c r="B27" s="243">
        <v>12</v>
      </c>
      <c r="C27" s="354">
        <f t="shared" si="6"/>
        <v>0</v>
      </c>
      <c r="D27" s="244"/>
      <c r="E27" s="238" t="s">
        <v>170</v>
      </c>
      <c r="F27" s="243">
        <v>12</v>
      </c>
      <c r="G27" s="350">
        <f t="shared" ref="G27:G32" si="12">IF(E27=0,0,$AM7)</f>
        <v>0</v>
      </c>
      <c r="H27" s="232"/>
      <c r="I27" s="238" t="s">
        <v>152</v>
      </c>
      <c r="J27" s="246">
        <v>12</v>
      </c>
      <c r="K27" s="351">
        <f t="shared" si="10"/>
        <v>0</v>
      </c>
      <c r="L27" s="244"/>
      <c r="M27" s="238" t="s">
        <v>154</v>
      </c>
      <c r="N27" s="246">
        <v>12</v>
      </c>
      <c r="O27" s="351">
        <f t="shared" si="7"/>
        <v>0</v>
      </c>
      <c r="P27" s="244"/>
      <c r="Q27" s="238" t="s">
        <v>148</v>
      </c>
      <c r="R27" s="246">
        <v>12</v>
      </c>
      <c r="S27" s="351">
        <f t="shared" si="11"/>
        <v>0</v>
      </c>
      <c r="T27" s="244"/>
      <c r="U27" s="238" t="s">
        <v>153</v>
      </c>
      <c r="V27" s="245">
        <v>12</v>
      </c>
      <c r="W27" s="351">
        <f>IF(U27=0,0,' Horaires hors période scolaire'!$N8)</f>
        <v>0</v>
      </c>
      <c r="X27" s="244"/>
      <c r="Y27" s="238" t="s">
        <v>153</v>
      </c>
      <c r="Z27" s="246">
        <v>12</v>
      </c>
      <c r="AA27" s="351">
        <f t="shared" si="9"/>
        <v>0</v>
      </c>
      <c r="AB27" s="247"/>
      <c r="AC27" s="238" t="s">
        <v>170</v>
      </c>
      <c r="AD27" s="245">
        <v>12</v>
      </c>
      <c r="AE27" s="353"/>
      <c r="AF27" s="232"/>
      <c r="AG27" s="238" t="s">
        <v>151</v>
      </c>
      <c r="AH27" s="243">
        <v>12</v>
      </c>
      <c r="AI27" s="354">
        <f>IF(AG27=0,0,$AM9)</f>
        <v>0</v>
      </c>
      <c r="AJ27" s="244"/>
      <c r="AK27" s="238" t="s">
        <v>154</v>
      </c>
      <c r="AL27" s="246">
        <v>12</v>
      </c>
      <c r="AM27" s="351">
        <f t="shared" si="8"/>
        <v>0</v>
      </c>
      <c r="AN27" s="244"/>
      <c r="AO27" s="238" t="s">
        <v>170</v>
      </c>
      <c r="AP27" s="245">
        <v>12</v>
      </c>
      <c r="AQ27" s="359"/>
      <c r="AR27" s="232"/>
      <c r="AS27" s="238" t="s">
        <v>152</v>
      </c>
      <c r="AT27" s="245">
        <v>12</v>
      </c>
      <c r="AU27" s="351">
        <f>IF(AS27=0,0,' Horaires hors période scolaire'!$N7)</f>
        <v>0</v>
      </c>
      <c r="AV27" s="244"/>
    </row>
    <row r="28" spans="1:51" s="189" customFormat="1" ht="10.7" customHeight="1" thickBot="1">
      <c r="A28" s="242" t="s">
        <v>155</v>
      </c>
      <c r="B28" s="243">
        <v>13</v>
      </c>
      <c r="C28" s="355"/>
      <c r="D28" s="249">
        <f>SUM(C22:C27)</f>
        <v>0</v>
      </c>
      <c r="E28" s="238" t="s">
        <v>148</v>
      </c>
      <c r="F28" s="243">
        <v>13</v>
      </c>
      <c r="G28" s="351">
        <f t="shared" si="12"/>
        <v>0</v>
      </c>
      <c r="H28" s="244"/>
      <c r="I28" s="238" t="s">
        <v>153</v>
      </c>
      <c r="J28" s="246">
        <v>13</v>
      </c>
      <c r="K28" s="351">
        <f t="shared" si="10"/>
        <v>0</v>
      </c>
      <c r="L28" s="244"/>
      <c r="M28" s="238" t="s">
        <v>155</v>
      </c>
      <c r="N28" s="246">
        <v>13</v>
      </c>
      <c r="O28" s="314"/>
      <c r="P28" s="249">
        <f>SUM(O22:O27)</f>
        <v>0</v>
      </c>
      <c r="Q28" s="238" t="s">
        <v>151</v>
      </c>
      <c r="R28" s="246">
        <v>13</v>
      </c>
      <c r="S28" s="351">
        <f t="shared" si="11"/>
        <v>0</v>
      </c>
      <c r="T28" s="244"/>
      <c r="U28" s="238" t="s">
        <v>154</v>
      </c>
      <c r="V28" s="245">
        <v>13</v>
      </c>
      <c r="W28" s="351">
        <f>IF(U28=0,0,' Horaires hors période scolaire'!$N9)</f>
        <v>0</v>
      </c>
      <c r="X28" s="244"/>
      <c r="Y28" s="238" t="s">
        <v>154</v>
      </c>
      <c r="Z28" s="246">
        <v>13</v>
      </c>
      <c r="AA28" s="351">
        <f t="shared" si="9"/>
        <v>0</v>
      </c>
      <c r="AB28" s="247"/>
      <c r="AC28" s="238" t="s">
        <v>148</v>
      </c>
      <c r="AD28" s="245">
        <v>13</v>
      </c>
      <c r="AE28" s="351">
        <f>IF(AC28=0,0,' Horaires hors période scolaire'!$N5)</f>
        <v>0</v>
      </c>
      <c r="AF28" s="244"/>
      <c r="AG28" s="238" t="s">
        <v>152</v>
      </c>
      <c r="AH28" s="243">
        <v>13</v>
      </c>
      <c r="AI28" s="354">
        <f>IF(AG28=0,0,$AM10)</f>
        <v>0</v>
      </c>
      <c r="AJ28" s="244"/>
      <c r="AK28" s="238" t="s">
        <v>155</v>
      </c>
      <c r="AL28" s="243">
        <v>13</v>
      </c>
      <c r="AM28" s="355"/>
      <c r="AN28" s="249">
        <f>SUM(AM22:AM27)</f>
        <v>0</v>
      </c>
      <c r="AO28" s="238" t="s">
        <v>148</v>
      </c>
      <c r="AP28" s="245">
        <v>13</v>
      </c>
      <c r="AQ28" s="351">
        <f>IF(AO28=0,0,' Horaires hors période scolaire'!$N5)</f>
        <v>0</v>
      </c>
      <c r="AR28" s="244"/>
      <c r="AS28" s="238" t="s">
        <v>153</v>
      </c>
      <c r="AT28" s="245">
        <v>13</v>
      </c>
      <c r="AU28" s="351">
        <f>IF(AS28=0,0,' Horaires hors période scolaire'!$N8)</f>
        <v>0</v>
      </c>
      <c r="AV28" s="244"/>
    </row>
    <row r="29" spans="1:51" s="189" customFormat="1" ht="10.7" customHeight="1" thickBot="1">
      <c r="A29" s="242" t="s">
        <v>170</v>
      </c>
      <c r="B29" s="243">
        <v>14</v>
      </c>
      <c r="C29" s="350">
        <f t="shared" ref="C29:C34" si="13">IF(A29=0,0,$AM7)</f>
        <v>0</v>
      </c>
      <c r="D29" s="232"/>
      <c r="E29" s="238" t="s">
        <v>151</v>
      </c>
      <c r="F29" s="243">
        <v>14</v>
      </c>
      <c r="G29" s="351">
        <f t="shared" si="12"/>
        <v>0</v>
      </c>
      <c r="H29" s="244"/>
      <c r="I29" s="238" t="s">
        <v>154</v>
      </c>
      <c r="J29" s="246">
        <v>14</v>
      </c>
      <c r="K29" s="351">
        <f t="shared" si="10"/>
        <v>0</v>
      </c>
      <c r="L29" s="244"/>
      <c r="M29" s="238" t="s">
        <v>170</v>
      </c>
      <c r="N29" s="246">
        <v>14</v>
      </c>
      <c r="O29" s="350">
        <f t="shared" ref="O29:O34" si="14">IF(M29=0,0,$AM7)</f>
        <v>0</v>
      </c>
      <c r="P29" s="232"/>
      <c r="Q29" s="238" t="s">
        <v>152</v>
      </c>
      <c r="R29" s="246">
        <v>14</v>
      </c>
      <c r="S29" s="351">
        <f t="shared" si="11"/>
        <v>0</v>
      </c>
      <c r="T29" s="244"/>
      <c r="U29" s="238" t="s">
        <v>155</v>
      </c>
      <c r="V29" s="245">
        <v>14</v>
      </c>
      <c r="W29" s="351">
        <f>IF(U29=0,0,' Horaires hors période scolaire'!$N10)</f>
        <v>0</v>
      </c>
      <c r="X29" s="249">
        <f>SUM(W24:W29)</f>
        <v>0</v>
      </c>
      <c r="Y29" s="238" t="s">
        <v>155</v>
      </c>
      <c r="Z29" s="246">
        <v>14</v>
      </c>
      <c r="AA29" s="355"/>
      <c r="AB29" s="249">
        <f>SUM(AA23:AA28)</f>
        <v>0</v>
      </c>
      <c r="AC29" s="238" t="s">
        <v>151</v>
      </c>
      <c r="AD29" s="245">
        <v>14</v>
      </c>
      <c r="AE29" s="351">
        <f>IF(AC29=0,0,' Horaires hors période scolaire'!$N6)</f>
        <v>0</v>
      </c>
      <c r="AF29" s="244"/>
      <c r="AG29" s="238" t="s">
        <v>153</v>
      </c>
      <c r="AH29" s="255">
        <v>14</v>
      </c>
      <c r="AI29" s="254"/>
      <c r="AJ29" s="364" t="s">
        <v>194</v>
      </c>
      <c r="AK29" s="238" t="s">
        <v>170</v>
      </c>
      <c r="AL29" s="246">
        <v>14</v>
      </c>
      <c r="AM29" s="353">
        <f t="shared" ref="AM29:AM34" si="15">IF(AK29=0,0,$AM7)</f>
        <v>0</v>
      </c>
      <c r="AN29" s="232"/>
      <c r="AO29" s="238" t="s">
        <v>151</v>
      </c>
      <c r="AP29" s="255">
        <v>14</v>
      </c>
      <c r="AQ29" s="254"/>
      <c r="AR29" s="364" t="s">
        <v>195</v>
      </c>
      <c r="AS29" s="238" t="s">
        <v>154</v>
      </c>
      <c r="AT29" s="245">
        <v>14</v>
      </c>
      <c r="AU29" s="351">
        <f>IF(AS29=0,0,' Horaires hors période scolaire'!$N9)</f>
        <v>0</v>
      </c>
      <c r="AV29" s="244"/>
      <c r="AY29" s="241"/>
    </row>
    <row r="30" spans="1:51" s="189" customFormat="1" ht="10.7" customHeight="1" thickBot="1">
      <c r="A30" s="242" t="s">
        <v>148</v>
      </c>
      <c r="B30" s="243">
        <v>15</v>
      </c>
      <c r="C30" s="351">
        <f t="shared" si="13"/>
        <v>0</v>
      </c>
      <c r="D30" s="244"/>
      <c r="E30" s="238" t="s">
        <v>152</v>
      </c>
      <c r="F30" s="243">
        <v>15</v>
      </c>
      <c r="G30" s="351">
        <f t="shared" si="12"/>
        <v>0</v>
      </c>
      <c r="H30" s="244"/>
      <c r="I30" s="238" t="s">
        <v>155</v>
      </c>
      <c r="J30" s="246">
        <v>15</v>
      </c>
      <c r="K30" s="355"/>
      <c r="L30" s="249">
        <f>SUM(K24:K29)</f>
        <v>0</v>
      </c>
      <c r="M30" s="238" t="s">
        <v>148</v>
      </c>
      <c r="N30" s="246">
        <v>15</v>
      </c>
      <c r="O30" s="351">
        <f t="shared" si="14"/>
        <v>0</v>
      </c>
      <c r="P30" s="244"/>
      <c r="Q30" s="238" t="s">
        <v>153</v>
      </c>
      <c r="R30" s="246">
        <v>15</v>
      </c>
      <c r="S30" s="351">
        <f t="shared" si="11"/>
        <v>0</v>
      </c>
      <c r="T30" s="244"/>
      <c r="U30" s="238" t="s">
        <v>170</v>
      </c>
      <c r="V30" s="245">
        <v>15</v>
      </c>
      <c r="W30" s="350"/>
      <c r="X30" s="232"/>
      <c r="Y30" s="238" t="s">
        <v>170</v>
      </c>
      <c r="Z30" s="246">
        <v>15</v>
      </c>
      <c r="AA30" s="350">
        <f t="shared" ref="AA30:AA35" si="16">IF(Y30=0,0,$AM7)</f>
        <v>0</v>
      </c>
      <c r="AB30" s="239"/>
      <c r="AC30" s="238" t="s">
        <v>152</v>
      </c>
      <c r="AD30" s="245">
        <v>15</v>
      </c>
      <c r="AE30" s="351">
        <f>IF(AC30=0,0,' Horaires hors période scolaire'!$N7)</f>
        <v>0</v>
      </c>
      <c r="AF30" s="244"/>
      <c r="AG30" s="238" t="s">
        <v>154</v>
      </c>
      <c r="AH30" s="245">
        <v>15</v>
      </c>
      <c r="AI30" s="354"/>
      <c r="AJ30" s="244"/>
      <c r="AK30" s="238" t="s">
        <v>148</v>
      </c>
      <c r="AL30" s="246">
        <v>15</v>
      </c>
      <c r="AM30" s="354">
        <f t="shared" si="15"/>
        <v>0</v>
      </c>
      <c r="AN30" s="244"/>
      <c r="AO30" s="238" t="s">
        <v>152</v>
      </c>
      <c r="AP30" s="245">
        <v>15</v>
      </c>
      <c r="AQ30" s="351">
        <f>IF(AO30=0,0,' Horaires hors période scolaire'!$N7)</f>
        <v>0</v>
      </c>
      <c r="AR30" s="244"/>
      <c r="AS30" s="238" t="s">
        <v>155</v>
      </c>
      <c r="AT30" s="255">
        <v>15</v>
      </c>
      <c r="AU30" s="256" t="s">
        <v>196</v>
      </c>
      <c r="AV30" s="249">
        <f>SUM(AU25:AU30)</f>
        <v>0</v>
      </c>
      <c r="AY30" s="241"/>
    </row>
    <row r="31" spans="1:51" s="189" customFormat="1" ht="10.7" customHeight="1" thickBot="1">
      <c r="A31" s="242" t="s">
        <v>151</v>
      </c>
      <c r="B31" s="243">
        <v>16</v>
      </c>
      <c r="C31" s="351">
        <f t="shared" si="13"/>
        <v>0</v>
      </c>
      <c r="D31" s="244"/>
      <c r="E31" s="238" t="s">
        <v>153</v>
      </c>
      <c r="F31" s="243">
        <v>16</v>
      </c>
      <c r="G31" s="351">
        <f t="shared" si="12"/>
        <v>0</v>
      </c>
      <c r="H31" s="244"/>
      <c r="I31" s="238" t="s">
        <v>170</v>
      </c>
      <c r="J31" s="246">
        <v>16</v>
      </c>
      <c r="K31" s="350">
        <f t="shared" ref="K31:K36" si="17">IF(I31=0,0,$AM7)</f>
        <v>0</v>
      </c>
      <c r="L31" s="232"/>
      <c r="M31" s="238" t="s">
        <v>151</v>
      </c>
      <c r="N31" s="246">
        <v>16</v>
      </c>
      <c r="O31" s="351">
        <f t="shared" si="14"/>
        <v>0</v>
      </c>
      <c r="P31" s="244"/>
      <c r="Q31" s="238" t="s">
        <v>154</v>
      </c>
      <c r="R31" s="246">
        <v>16</v>
      </c>
      <c r="S31" s="351">
        <f t="shared" si="11"/>
        <v>0</v>
      </c>
      <c r="T31" s="244"/>
      <c r="U31" s="238" t="s">
        <v>148</v>
      </c>
      <c r="V31" s="245">
        <v>16</v>
      </c>
      <c r="W31" s="351">
        <f>IF(U31=0,0,' Horaires hors période scolaire'!$N5)</f>
        <v>0</v>
      </c>
      <c r="X31" s="244"/>
      <c r="Y31" s="238" t="s">
        <v>148</v>
      </c>
      <c r="Z31" s="246">
        <v>16</v>
      </c>
      <c r="AA31" s="351">
        <f t="shared" si="16"/>
        <v>0</v>
      </c>
      <c r="AB31" s="247"/>
      <c r="AC31" s="238" t="s">
        <v>153</v>
      </c>
      <c r="AD31" s="245">
        <v>16</v>
      </c>
      <c r="AE31" s="351">
        <f>IF(AC31=0,0,' Horaires hors période scolaire'!$N8)</f>
        <v>0</v>
      </c>
      <c r="AF31" s="244"/>
      <c r="AG31" s="238" t="s">
        <v>155</v>
      </c>
      <c r="AH31" s="245">
        <v>16</v>
      </c>
      <c r="AI31" s="355"/>
      <c r="AJ31" s="249">
        <f>SUM(AI25:AI30)</f>
        <v>0</v>
      </c>
      <c r="AK31" s="238" t="s">
        <v>151</v>
      </c>
      <c r="AL31" s="246">
        <v>16</v>
      </c>
      <c r="AM31" s="354">
        <f t="shared" si="15"/>
        <v>0</v>
      </c>
      <c r="AN31" s="244"/>
      <c r="AO31" s="238" t="s">
        <v>153</v>
      </c>
      <c r="AP31" s="245">
        <v>16</v>
      </c>
      <c r="AQ31" s="351">
        <f>IF(AO31=0,0,' Horaires hors période scolaire'!$N8)</f>
        <v>0</v>
      </c>
      <c r="AR31" s="244"/>
      <c r="AS31" s="238" t="s">
        <v>170</v>
      </c>
      <c r="AT31" s="245">
        <v>16</v>
      </c>
      <c r="AU31" s="359"/>
      <c r="AV31" s="232"/>
      <c r="AY31" s="241"/>
    </row>
    <row r="32" spans="1:51" s="189" customFormat="1" ht="10.7" customHeight="1" thickBot="1">
      <c r="A32" s="242" t="s">
        <v>152</v>
      </c>
      <c r="B32" s="243">
        <v>17</v>
      </c>
      <c r="C32" s="351">
        <f t="shared" si="13"/>
        <v>0</v>
      </c>
      <c r="D32" s="244"/>
      <c r="E32" s="238" t="s">
        <v>154</v>
      </c>
      <c r="F32" s="243">
        <v>17</v>
      </c>
      <c r="G32" s="351">
        <f t="shared" si="12"/>
        <v>0</v>
      </c>
      <c r="H32" s="244"/>
      <c r="I32" s="238" t="s">
        <v>148</v>
      </c>
      <c r="J32" s="246">
        <v>17</v>
      </c>
      <c r="K32" s="351">
        <f t="shared" si="17"/>
        <v>0</v>
      </c>
      <c r="L32" s="244"/>
      <c r="M32" s="238" t="s">
        <v>152</v>
      </c>
      <c r="N32" s="243">
        <v>17</v>
      </c>
      <c r="O32" s="351">
        <f t="shared" si="14"/>
        <v>0</v>
      </c>
      <c r="P32" s="244"/>
      <c r="Q32" s="238" t="s">
        <v>155</v>
      </c>
      <c r="R32" s="246">
        <v>17</v>
      </c>
      <c r="S32" s="355"/>
      <c r="T32" s="249">
        <f>SUM(S26:S31)</f>
        <v>0</v>
      </c>
      <c r="U32" s="238" t="s">
        <v>151</v>
      </c>
      <c r="V32" s="245">
        <v>17</v>
      </c>
      <c r="W32" s="351">
        <f>IF(U32=0,0,' Horaires hors période scolaire'!$N6)</f>
        <v>0</v>
      </c>
      <c r="X32" s="244"/>
      <c r="Y32" s="238" t="s">
        <v>151</v>
      </c>
      <c r="Z32" s="246">
        <v>17</v>
      </c>
      <c r="AA32" s="351">
        <f t="shared" si="16"/>
        <v>0</v>
      </c>
      <c r="AB32" s="247"/>
      <c r="AC32" s="238" t="s">
        <v>154</v>
      </c>
      <c r="AD32" s="245">
        <v>17</v>
      </c>
      <c r="AE32" s="351">
        <f>IF(AC32=0,0,' Horaires hors période scolaire'!$N9)</f>
        <v>0</v>
      </c>
      <c r="AF32" s="244"/>
      <c r="AG32" s="238" t="s">
        <v>170</v>
      </c>
      <c r="AH32" s="245">
        <v>17</v>
      </c>
      <c r="AI32" s="353">
        <f t="shared" ref="AI32:AI37" si="18">IF(AG32=0,0,$AM7)</f>
        <v>0</v>
      </c>
      <c r="AJ32" s="232"/>
      <c r="AK32" s="238" t="s">
        <v>152</v>
      </c>
      <c r="AL32" s="246">
        <v>17</v>
      </c>
      <c r="AM32" s="354">
        <f t="shared" si="15"/>
        <v>0</v>
      </c>
      <c r="AN32" s="244"/>
      <c r="AO32" s="238" t="s">
        <v>154</v>
      </c>
      <c r="AP32" s="245">
        <v>17</v>
      </c>
      <c r="AQ32" s="351">
        <f>IF(AO32=0,0,' Horaires hors période scolaire'!$N9)</f>
        <v>0</v>
      </c>
      <c r="AR32" s="244"/>
      <c r="AS32" s="238" t="s">
        <v>148</v>
      </c>
      <c r="AT32" s="245">
        <v>17</v>
      </c>
      <c r="AU32" s="351">
        <f>IF(AS32=0,0,' Horaires hors période scolaire'!$N5)</f>
        <v>0</v>
      </c>
      <c r="AV32" s="244"/>
      <c r="AY32" s="241"/>
    </row>
    <row r="33" spans="1:58" s="189" customFormat="1" ht="10.7" customHeight="1" thickBot="1">
      <c r="A33" s="242" t="s">
        <v>153</v>
      </c>
      <c r="B33" s="243">
        <v>18</v>
      </c>
      <c r="C33" s="351">
        <f t="shared" si="13"/>
        <v>0</v>
      </c>
      <c r="D33" s="244"/>
      <c r="E33" s="238" t="s">
        <v>155</v>
      </c>
      <c r="F33" s="245">
        <v>18</v>
      </c>
      <c r="G33" s="352"/>
      <c r="H33" s="252">
        <f>SUM(G27:G32)</f>
        <v>0</v>
      </c>
      <c r="I33" s="238" t="s">
        <v>151</v>
      </c>
      <c r="J33" s="246">
        <v>18</v>
      </c>
      <c r="K33" s="351">
        <f t="shared" si="17"/>
        <v>0</v>
      </c>
      <c r="L33" s="244"/>
      <c r="M33" s="238" t="s">
        <v>153</v>
      </c>
      <c r="N33" s="243">
        <v>18</v>
      </c>
      <c r="O33" s="351">
        <f t="shared" si="14"/>
        <v>0</v>
      </c>
      <c r="P33" s="244"/>
      <c r="Q33" s="238" t="s">
        <v>170</v>
      </c>
      <c r="R33" s="246">
        <v>18</v>
      </c>
      <c r="S33" s="350">
        <f t="shared" ref="S33:S38" si="19">IF(Q33=0,0,$AM7)</f>
        <v>0</v>
      </c>
      <c r="T33" s="232"/>
      <c r="U33" s="238" t="s">
        <v>152</v>
      </c>
      <c r="V33" s="245">
        <v>18</v>
      </c>
      <c r="W33" s="351">
        <f>IF(U33=0,0,' Horaires hors période scolaire'!$N7)</f>
        <v>0</v>
      </c>
      <c r="X33" s="257"/>
      <c r="Y33" s="238" t="s">
        <v>152</v>
      </c>
      <c r="Z33" s="246">
        <v>18</v>
      </c>
      <c r="AA33" s="351">
        <f t="shared" si="16"/>
        <v>0</v>
      </c>
      <c r="AB33" s="247"/>
      <c r="AC33" s="238" t="s">
        <v>155</v>
      </c>
      <c r="AD33" s="245">
        <v>18</v>
      </c>
      <c r="AE33" s="351">
        <f>IF(AC33=0,0,' Horaires hors période scolaire'!$N10)</f>
        <v>0</v>
      </c>
      <c r="AF33" s="249">
        <f>SUM(AE28:AE33)</f>
        <v>0</v>
      </c>
      <c r="AG33" s="238" t="s">
        <v>148</v>
      </c>
      <c r="AH33" s="243">
        <v>18</v>
      </c>
      <c r="AI33" s="351">
        <f t="shared" si="18"/>
        <v>0</v>
      </c>
      <c r="AJ33" s="244"/>
      <c r="AK33" s="238" t="s">
        <v>153</v>
      </c>
      <c r="AL33" s="246">
        <v>18</v>
      </c>
      <c r="AM33" s="354">
        <f t="shared" si="15"/>
        <v>0</v>
      </c>
      <c r="AN33" s="244"/>
      <c r="AO33" s="238" t="s">
        <v>155</v>
      </c>
      <c r="AP33" s="245">
        <v>18</v>
      </c>
      <c r="AQ33" s="351">
        <f>IF(AO33=0,0,' Horaires hors période scolaire'!$N10)</f>
        <v>0</v>
      </c>
      <c r="AR33" s="249">
        <f>SUM(AQ28:AQ33)</f>
        <v>0</v>
      </c>
      <c r="AS33" s="238" t="s">
        <v>151</v>
      </c>
      <c r="AT33" s="245">
        <v>18</v>
      </c>
      <c r="AU33" s="351">
        <f>IF(AS33=0,0,' Horaires hors période scolaire'!$N6)</f>
        <v>0</v>
      </c>
      <c r="AV33" s="244"/>
      <c r="AY33" s="241"/>
      <c r="AZ33" s="241"/>
      <c r="BA33" s="241"/>
    </row>
    <row r="34" spans="1:58" s="189" customFormat="1" ht="10.7" customHeight="1">
      <c r="A34" s="242" t="s">
        <v>154</v>
      </c>
      <c r="B34" s="243">
        <v>19</v>
      </c>
      <c r="C34" s="351">
        <f t="shared" si="13"/>
        <v>0</v>
      </c>
      <c r="D34" s="244"/>
      <c r="E34" s="238" t="s">
        <v>170</v>
      </c>
      <c r="F34" s="245">
        <v>19</v>
      </c>
      <c r="G34" s="350"/>
      <c r="H34" s="232"/>
      <c r="I34" s="238" t="s">
        <v>152</v>
      </c>
      <c r="J34" s="246">
        <v>19</v>
      </c>
      <c r="K34" s="351">
        <f t="shared" si="17"/>
        <v>0</v>
      </c>
      <c r="L34" s="244"/>
      <c r="M34" s="238" t="s">
        <v>154</v>
      </c>
      <c r="N34" s="243">
        <v>19</v>
      </c>
      <c r="O34" s="351">
        <f t="shared" si="14"/>
        <v>0</v>
      </c>
      <c r="P34" s="244"/>
      <c r="Q34" s="238" t="s">
        <v>148</v>
      </c>
      <c r="R34" s="246">
        <v>19</v>
      </c>
      <c r="S34" s="351">
        <f t="shared" si="19"/>
        <v>0</v>
      </c>
      <c r="T34" s="244"/>
      <c r="U34" s="238" t="s">
        <v>153</v>
      </c>
      <c r="V34" s="245">
        <v>19</v>
      </c>
      <c r="W34" s="351">
        <f>IF(U34=0,0,' Horaires hors période scolaire'!$N8)</f>
        <v>0</v>
      </c>
      <c r="X34" s="244"/>
      <c r="Y34" s="238" t="s">
        <v>153</v>
      </c>
      <c r="Z34" s="246">
        <v>19</v>
      </c>
      <c r="AA34" s="351">
        <f t="shared" si="16"/>
        <v>0</v>
      </c>
      <c r="AB34" s="247"/>
      <c r="AC34" s="238" t="s">
        <v>170</v>
      </c>
      <c r="AD34" s="245">
        <v>19</v>
      </c>
      <c r="AE34" s="353">
        <f t="shared" ref="AE34:AE39" si="20">IF(AC34=0,0,$AM7)</f>
        <v>0</v>
      </c>
      <c r="AF34" s="232"/>
      <c r="AG34" s="238" t="s">
        <v>151</v>
      </c>
      <c r="AH34" s="243">
        <v>19</v>
      </c>
      <c r="AI34" s="351">
        <f t="shared" si="18"/>
        <v>0</v>
      </c>
      <c r="AJ34" s="244"/>
      <c r="AK34" s="238" t="s">
        <v>154</v>
      </c>
      <c r="AL34" s="246">
        <v>19</v>
      </c>
      <c r="AM34" s="354">
        <f t="shared" si="15"/>
        <v>0</v>
      </c>
      <c r="AN34" s="244"/>
      <c r="AO34" s="238" t="s">
        <v>170</v>
      </c>
      <c r="AP34" s="245">
        <v>19</v>
      </c>
      <c r="AQ34" s="359"/>
      <c r="AR34" s="232"/>
      <c r="AS34" s="238" t="s">
        <v>152</v>
      </c>
      <c r="AT34" s="245">
        <v>19</v>
      </c>
      <c r="AU34" s="351">
        <f>IF(AS34=0,0,' Horaires hors période scolaire'!$N7)</f>
        <v>0</v>
      </c>
      <c r="AV34" s="244"/>
    </row>
    <row r="35" spans="1:58" s="189" customFormat="1" ht="10.7" customHeight="1" thickBot="1">
      <c r="A35" s="242" t="s">
        <v>155</v>
      </c>
      <c r="B35" s="243">
        <v>20</v>
      </c>
      <c r="C35" s="355"/>
      <c r="D35" s="249">
        <f>SUM(C29:C34)</f>
        <v>0</v>
      </c>
      <c r="E35" s="238" t="s">
        <v>148</v>
      </c>
      <c r="F35" s="245">
        <v>20</v>
      </c>
      <c r="G35" s="351">
        <f>IF(E35=0,0,' Horaires hors période scolaire'!$N5)</f>
        <v>0</v>
      </c>
      <c r="H35" s="244"/>
      <c r="I35" s="238" t="s">
        <v>153</v>
      </c>
      <c r="J35" s="246">
        <v>20</v>
      </c>
      <c r="K35" s="351">
        <f t="shared" si="17"/>
        <v>0</v>
      </c>
      <c r="L35" s="244"/>
      <c r="M35" s="238" t="s">
        <v>155</v>
      </c>
      <c r="N35" s="245">
        <v>20</v>
      </c>
      <c r="O35" s="355"/>
      <c r="P35" s="249">
        <f>SUM(O29:O34)</f>
        <v>0</v>
      </c>
      <c r="Q35" s="238" t="s">
        <v>151</v>
      </c>
      <c r="R35" s="246">
        <v>20</v>
      </c>
      <c r="S35" s="351">
        <f t="shared" si="19"/>
        <v>0</v>
      </c>
      <c r="T35" s="244"/>
      <c r="U35" s="238" t="s">
        <v>154</v>
      </c>
      <c r="V35" s="245">
        <v>20</v>
      </c>
      <c r="W35" s="351">
        <f>IF(U35=0,0,' Horaires hors période scolaire'!$N9)</f>
        <v>0</v>
      </c>
      <c r="X35" s="244"/>
      <c r="Y35" s="238" t="s">
        <v>154</v>
      </c>
      <c r="Z35" s="246">
        <v>20</v>
      </c>
      <c r="AA35" s="351">
        <f t="shared" si="16"/>
        <v>0</v>
      </c>
      <c r="AB35" s="247"/>
      <c r="AC35" s="238" t="s">
        <v>148</v>
      </c>
      <c r="AD35" s="243">
        <v>20</v>
      </c>
      <c r="AE35" s="351">
        <f t="shared" si="20"/>
        <v>0</v>
      </c>
      <c r="AF35" s="244"/>
      <c r="AG35" s="238" t="s">
        <v>152</v>
      </c>
      <c r="AH35" s="243">
        <v>20</v>
      </c>
      <c r="AI35" s="351">
        <f t="shared" si="18"/>
        <v>0</v>
      </c>
      <c r="AJ35" s="244"/>
      <c r="AK35" s="238" t="s">
        <v>155</v>
      </c>
      <c r="AL35" s="246">
        <v>20</v>
      </c>
      <c r="AM35" s="355"/>
      <c r="AN35" s="249">
        <f>SUM(AM29:AM34)</f>
        <v>0</v>
      </c>
      <c r="AO35" s="238" t="s">
        <v>148</v>
      </c>
      <c r="AP35" s="245">
        <v>20</v>
      </c>
      <c r="AQ35" s="351">
        <f>IF(AO35=0,0,' Horaires hors période scolaire'!$N5)</f>
        <v>0</v>
      </c>
      <c r="AR35" s="244"/>
      <c r="AS35" s="238" t="s">
        <v>153</v>
      </c>
      <c r="AT35" s="245">
        <v>20</v>
      </c>
      <c r="AU35" s="351">
        <f>IF(AS35=0,0,' Horaires hors période scolaire'!$N8)</f>
        <v>0</v>
      </c>
      <c r="AV35" s="244"/>
    </row>
    <row r="36" spans="1:58" s="189" customFormat="1" ht="10.7" customHeight="1" thickBot="1">
      <c r="A36" s="242" t="s">
        <v>170</v>
      </c>
      <c r="B36" s="243">
        <v>21</v>
      </c>
      <c r="C36" s="350">
        <f t="shared" ref="C36:C41" si="21">IF(A36=0,0,$AM7)</f>
        <v>0</v>
      </c>
      <c r="D36" s="232"/>
      <c r="E36" s="238" t="s">
        <v>151</v>
      </c>
      <c r="F36" s="245">
        <v>21</v>
      </c>
      <c r="G36" s="351">
        <f>IF(E36=0,0,' Horaires hors période scolaire'!$N6)</f>
        <v>0</v>
      </c>
      <c r="H36" s="244"/>
      <c r="I36" s="238" t="s">
        <v>154</v>
      </c>
      <c r="J36" s="246">
        <v>21</v>
      </c>
      <c r="K36" s="351">
        <f t="shared" si="17"/>
        <v>0</v>
      </c>
      <c r="L36" s="244"/>
      <c r="M36" s="238" t="s">
        <v>170</v>
      </c>
      <c r="N36" s="245">
        <v>21</v>
      </c>
      <c r="O36" s="350"/>
      <c r="P36" s="232"/>
      <c r="Q36" s="238" t="s">
        <v>152</v>
      </c>
      <c r="R36" s="246">
        <v>21</v>
      </c>
      <c r="S36" s="351">
        <f t="shared" si="19"/>
        <v>0</v>
      </c>
      <c r="T36" s="244"/>
      <c r="U36" s="238" t="s">
        <v>155</v>
      </c>
      <c r="V36" s="245">
        <v>21</v>
      </c>
      <c r="W36" s="351">
        <f>IF(U36=0,0,' Horaires hors période scolaire'!$N10)</f>
        <v>0</v>
      </c>
      <c r="X36" s="249">
        <f>SUM(W31:W36)</f>
        <v>0</v>
      </c>
      <c r="Y36" s="238" t="s">
        <v>155</v>
      </c>
      <c r="Z36" s="246">
        <v>21</v>
      </c>
      <c r="AA36" s="355"/>
      <c r="AB36" s="249">
        <f>SUM(AA30:AA35)</f>
        <v>0</v>
      </c>
      <c r="AC36" s="238" t="s">
        <v>151</v>
      </c>
      <c r="AD36" s="243">
        <v>21</v>
      </c>
      <c r="AE36" s="351">
        <f t="shared" si="20"/>
        <v>0</v>
      </c>
      <c r="AF36" s="244"/>
      <c r="AG36" s="238" t="s">
        <v>153</v>
      </c>
      <c r="AH36" s="243">
        <v>21</v>
      </c>
      <c r="AI36" s="351">
        <f t="shared" si="18"/>
        <v>0</v>
      </c>
      <c r="AJ36" s="244"/>
      <c r="AK36" s="238" t="s">
        <v>170</v>
      </c>
      <c r="AL36" s="246">
        <v>21</v>
      </c>
      <c r="AM36" s="350">
        <f t="shared" ref="AM36:AM41" si="22">IF(AK36=0,0,$AM7)</f>
        <v>0</v>
      </c>
      <c r="AN36" s="232"/>
      <c r="AO36" s="238" t="s">
        <v>151</v>
      </c>
      <c r="AP36" s="245">
        <v>21</v>
      </c>
      <c r="AQ36" s="351">
        <f>IF(AO36=0,0,' Horaires hors période scolaire'!$N6)</f>
        <v>0</v>
      </c>
      <c r="AR36" s="244"/>
      <c r="AS36" s="238" t="s">
        <v>154</v>
      </c>
      <c r="AT36" s="245">
        <v>21</v>
      </c>
      <c r="AU36" s="351">
        <f>IF(AS36=0,0,' Horaires hors période scolaire'!$N9)</f>
        <v>0</v>
      </c>
      <c r="AV36" s="244"/>
    </row>
    <row r="37" spans="1:58" s="189" customFormat="1" ht="10.7" customHeight="1" thickBot="1">
      <c r="A37" s="242" t="s">
        <v>148</v>
      </c>
      <c r="B37" s="243">
        <v>22</v>
      </c>
      <c r="C37" s="351">
        <f t="shared" si="21"/>
        <v>0</v>
      </c>
      <c r="D37" s="244"/>
      <c r="E37" s="238" t="s">
        <v>152</v>
      </c>
      <c r="F37" s="245">
        <v>22</v>
      </c>
      <c r="G37" s="351">
        <f>IF(E37=0,0,' Horaires hors période scolaire'!$N7)</f>
        <v>0</v>
      </c>
      <c r="H37" s="244"/>
      <c r="I37" s="238" t="s">
        <v>155</v>
      </c>
      <c r="J37" s="246">
        <v>22</v>
      </c>
      <c r="K37" s="355"/>
      <c r="L37" s="249">
        <f>SUM(K31:K36)</f>
        <v>0</v>
      </c>
      <c r="M37" s="238" t="s">
        <v>148</v>
      </c>
      <c r="N37" s="245">
        <v>22</v>
      </c>
      <c r="O37" s="351">
        <f>IF(M37=0,0,' Horaires hors période scolaire'!$N5)</f>
        <v>0</v>
      </c>
      <c r="P37" s="244"/>
      <c r="Q37" s="238" t="s">
        <v>153</v>
      </c>
      <c r="R37" s="246">
        <v>22</v>
      </c>
      <c r="S37" s="351">
        <f t="shared" si="19"/>
        <v>0</v>
      </c>
      <c r="T37" s="244"/>
      <c r="U37" s="238" t="s">
        <v>170</v>
      </c>
      <c r="V37" s="245">
        <v>22</v>
      </c>
      <c r="W37" s="350">
        <f t="shared" ref="W37:W42" si="23">IF(U37=0,0,$AM7)</f>
        <v>0</v>
      </c>
      <c r="X37" s="232"/>
      <c r="Y37" s="238" t="s">
        <v>170</v>
      </c>
      <c r="Z37" s="246">
        <v>22</v>
      </c>
      <c r="AA37" s="350">
        <f t="shared" ref="AA37:AA42" si="24">IF(Y37=0,0,$AM7)</f>
        <v>0</v>
      </c>
      <c r="AB37" s="239"/>
      <c r="AC37" s="238" t="s">
        <v>152</v>
      </c>
      <c r="AD37" s="243">
        <v>22</v>
      </c>
      <c r="AE37" s="351">
        <f t="shared" si="20"/>
        <v>0</v>
      </c>
      <c r="AF37" s="244"/>
      <c r="AG37" s="238" t="s">
        <v>154</v>
      </c>
      <c r="AH37" s="243">
        <v>22</v>
      </c>
      <c r="AI37" s="351">
        <f t="shared" si="18"/>
        <v>0</v>
      </c>
      <c r="AJ37" s="244"/>
      <c r="AK37" s="238" t="s">
        <v>148</v>
      </c>
      <c r="AL37" s="246">
        <v>22</v>
      </c>
      <c r="AM37" s="351">
        <f t="shared" si="22"/>
        <v>0</v>
      </c>
      <c r="AN37" s="244"/>
      <c r="AO37" s="238" t="s">
        <v>152</v>
      </c>
      <c r="AP37" s="245">
        <v>22</v>
      </c>
      <c r="AQ37" s="351">
        <f>IF(AO37=0,0,' Horaires hors période scolaire'!$N7)</f>
        <v>0</v>
      </c>
      <c r="AR37" s="244"/>
      <c r="AS37" s="238" t="s">
        <v>155</v>
      </c>
      <c r="AT37" s="245">
        <v>22</v>
      </c>
      <c r="AU37" s="351">
        <f>IF(AS37=0,0,' Horaires hors période scolaire'!$N10)</f>
        <v>0</v>
      </c>
      <c r="AV37" s="249">
        <f>SUM(AU30:AU37)</f>
        <v>0</v>
      </c>
    </row>
    <row r="38" spans="1:58" s="189" customFormat="1" ht="10.7" customHeight="1" thickBot="1">
      <c r="A38" s="242" t="s">
        <v>151</v>
      </c>
      <c r="B38" s="243">
        <v>23</v>
      </c>
      <c r="C38" s="351">
        <f t="shared" si="21"/>
        <v>0</v>
      </c>
      <c r="D38" s="244"/>
      <c r="E38" s="238" t="s">
        <v>153</v>
      </c>
      <c r="F38" s="245">
        <v>23</v>
      </c>
      <c r="G38" s="351">
        <f>IF(E38=0,0,' Horaires hors période scolaire'!$N8)</f>
        <v>0</v>
      </c>
      <c r="H38" s="244"/>
      <c r="I38" s="238" t="s">
        <v>170</v>
      </c>
      <c r="J38" s="246">
        <v>23</v>
      </c>
      <c r="K38" s="350">
        <f t="shared" ref="K38:K43" si="25">IF(I38=0,0,$AM7)</f>
        <v>0</v>
      </c>
      <c r="L38" s="232"/>
      <c r="M38" s="238" t="s">
        <v>151</v>
      </c>
      <c r="N38" s="245">
        <v>23</v>
      </c>
      <c r="O38" s="351">
        <f>IF(M38=0,0,' Horaires hors période scolaire'!$N6)</f>
        <v>0</v>
      </c>
      <c r="P38" s="244"/>
      <c r="Q38" s="238" t="s">
        <v>154</v>
      </c>
      <c r="R38" s="246">
        <v>23</v>
      </c>
      <c r="S38" s="351">
        <f t="shared" si="19"/>
        <v>0</v>
      </c>
      <c r="T38" s="244"/>
      <c r="U38" s="238" t="s">
        <v>148</v>
      </c>
      <c r="V38" s="243">
        <v>23</v>
      </c>
      <c r="W38" s="351">
        <f t="shared" si="23"/>
        <v>0</v>
      </c>
      <c r="X38" s="244"/>
      <c r="Y38" s="238" t="s">
        <v>148</v>
      </c>
      <c r="Z38" s="246">
        <v>23</v>
      </c>
      <c r="AA38" s="351">
        <f t="shared" si="24"/>
        <v>0</v>
      </c>
      <c r="AB38" s="247"/>
      <c r="AC38" s="238" t="s">
        <v>153</v>
      </c>
      <c r="AD38" s="243">
        <v>23</v>
      </c>
      <c r="AE38" s="351">
        <f t="shared" si="20"/>
        <v>0</v>
      </c>
      <c r="AF38" s="244"/>
      <c r="AG38" s="238" t="s">
        <v>155</v>
      </c>
      <c r="AH38" s="243">
        <v>23</v>
      </c>
      <c r="AI38" s="355"/>
      <c r="AJ38" s="249">
        <f>SUM(AI32:AI37)</f>
        <v>0</v>
      </c>
      <c r="AK38" s="238" t="s">
        <v>151</v>
      </c>
      <c r="AL38" s="246">
        <v>23</v>
      </c>
      <c r="AM38" s="351">
        <f t="shared" si="22"/>
        <v>0</v>
      </c>
      <c r="AN38" s="244"/>
      <c r="AO38" s="238" t="s">
        <v>153</v>
      </c>
      <c r="AP38" s="245">
        <v>23</v>
      </c>
      <c r="AQ38" s="351">
        <f>IF(AO38=0,0,' Horaires hors période scolaire'!$N8)</f>
        <v>0</v>
      </c>
      <c r="AR38" s="244"/>
      <c r="AS38" s="238" t="s">
        <v>170</v>
      </c>
      <c r="AT38" s="245">
        <v>23</v>
      </c>
      <c r="AU38" s="359"/>
      <c r="AV38" s="232"/>
    </row>
    <row r="39" spans="1:58" s="189" customFormat="1" ht="10.7" customHeight="1" thickBot="1">
      <c r="A39" s="242" t="s">
        <v>152</v>
      </c>
      <c r="B39" s="243">
        <v>24</v>
      </c>
      <c r="C39" s="351">
        <f t="shared" si="21"/>
        <v>0</v>
      </c>
      <c r="D39" s="244"/>
      <c r="E39" s="238" t="s">
        <v>154</v>
      </c>
      <c r="F39" s="245">
        <v>24</v>
      </c>
      <c r="G39" s="351">
        <f>IF(E39=0,0,' Horaires hors période scolaire'!$N9)</f>
        <v>0</v>
      </c>
      <c r="H39" s="244"/>
      <c r="I39" s="238" t="s">
        <v>148</v>
      </c>
      <c r="J39" s="246">
        <v>24</v>
      </c>
      <c r="K39" s="351">
        <f t="shared" si="25"/>
        <v>0</v>
      </c>
      <c r="L39" s="244"/>
      <c r="M39" s="238" t="s">
        <v>152</v>
      </c>
      <c r="N39" s="245">
        <v>24</v>
      </c>
      <c r="O39" s="351">
        <f>IF(M39=0,0,' Horaires hors période scolaire'!$N7)</f>
        <v>0</v>
      </c>
      <c r="P39" s="244"/>
      <c r="Q39" s="238" t="s">
        <v>155</v>
      </c>
      <c r="R39" s="246">
        <v>24</v>
      </c>
      <c r="S39" s="355"/>
      <c r="T39" s="249">
        <f>SUM(S33:S38)</f>
        <v>0</v>
      </c>
      <c r="U39" s="238" t="s">
        <v>151</v>
      </c>
      <c r="V39" s="243">
        <v>24</v>
      </c>
      <c r="W39" s="351">
        <f t="shared" si="23"/>
        <v>0</v>
      </c>
      <c r="X39" s="244"/>
      <c r="Y39" s="238" t="s">
        <v>151</v>
      </c>
      <c r="Z39" s="246">
        <v>24</v>
      </c>
      <c r="AA39" s="351">
        <f t="shared" si="24"/>
        <v>0</v>
      </c>
      <c r="AB39" s="247"/>
      <c r="AC39" s="238" t="s">
        <v>154</v>
      </c>
      <c r="AD39" s="243">
        <v>24</v>
      </c>
      <c r="AE39" s="351">
        <f t="shared" si="20"/>
        <v>0</v>
      </c>
      <c r="AF39" s="244"/>
      <c r="AG39" s="238" t="s">
        <v>170</v>
      </c>
      <c r="AH39" s="243">
        <v>24</v>
      </c>
      <c r="AI39" s="353"/>
      <c r="AJ39" s="232"/>
      <c r="AK39" s="238" t="s">
        <v>152</v>
      </c>
      <c r="AL39" s="246">
        <v>24</v>
      </c>
      <c r="AM39" s="351">
        <f t="shared" si="22"/>
        <v>0</v>
      </c>
      <c r="AN39" s="244"/>
      <c r="AO39" s="238" t="s">
        <v>154</v>
      </c>
      <c r="AP39" s="245">
        <v>24</v>
      </c>
      <c r="AQ39" s="351">
        <f>IF(AO39=0,0,' Horaires hors période scolaire'!$N9)</f>
        <v>0</v>
      </c>
      <c r="AR39" s="244"/>
      <c r="AS39" s="238" t="s">
        <v>148</v>
      </c>
      <c r="AT39" s="245">
        <v>24</v>
      </c>
      <c r="AU39" s="351">
        <f>IF(AS39=0,0,' Horaires hors période scolaire'!$N5)</f>
        <v>0</v>
      </c>
      <c r="AV39" s="244"/>
    </row>
    <row r="40" spans="1:58" s="189" customFormat="1" ht="10.7" customHeight="1" thickBot="1">
      <c r="A40" s="242" t="s">
        <v>153</v>
      </c>
      <c r="B40" s="243">
        <v>25</v>
      </c>
      <c r="C40" s="351">
        <f t="shared" si="21"/>
        <v>0</v>
      </c>
      <c r="D40" s="244"/>
      <c r="E40" s="238" t="s">
        <v>155</v>
      </c>
      <c r="F40" s="245">
        <v>25</v>
      </c>
      <c r="G40" s="351">
        <f>IF(E40=0,0,' Horaires hors période scolaire'!$N10)</f>
        <v>0</v>
      </c>
      <c r="H40" s="249">
        <f>SUM(G35:G40)</f>
        <v>0</v>
      </c>
      <c r="I40" s="238" t="s">
        <v>151</v>
      </c>
      <c r="J40" s="246">
        <v>25</v>
      </c>
      <c r="K40" s="351">
        <f t="shared" si="25"/>
        <v>0</v>
      </c>
      <c r="L40" s="244"/>
      <c r="M40" s="238" t="s">
        <v>153</v>
      </c>
      <c r="N40" s="253">
        <v>25</v>
      </c>
      <c r="O40" s="254"/>
      <c r="P40" s="364" t="s">
        <v>197</v>
      </c>
      <c r="Q40" s="238" t="s">
        <v>170</v>
      </c>
      <c r="R40" s="246">
        <v>25</v>
      </c>
      <c r="S40" s="350">
        <f t="shared" ref="S40:S45" si="26">IF(Q40=0,0,$AM7)</f>
        <v>0</v>
      </c>
      <c r="T40" s="232"/>
      <c r="U40" s="238" t="s">
        <v>152</v>
      </c>
      <c r="V40" s="243">
        <v>25</v>
      </c>
      <c r="W40" s="354">
        <f t="shared" si="23"/>
        <v>0</v>
      </c>
      <c r="X40" s="244"/>
      <c r="Y40" s="238" t="s">
        <v>152</v>
      </c>
      <c r="Z40" s="246">
        <v>25</v>
      </c>
      <c r="AA40" s="351">
        <f t="shared" si="24"/>
        <v>0</v>
      </c>
      <c r="AB40" s="247"/>
      <c r="AC40" s="238" t="s">
        <v>155</v>
      </c>
      <c r="AD40" s="243">
        <v>25</v>
      </c>
      <c r="AE40" s="358"/>
      <c r="AF40" s="249">
        <f>SUM(AE34:AE39)</f>
        <v>0</v>
      </c>
      <c r="AG40" s="238" t="s">
        <v>148</v>
      </c>
      <c r="AH40" s="243">
        <v>25</v>
      </c>
      <c r="AI40" s="363">
        <f>IF(AG40=0,0,$AM8)</f>
        <v>0</v>
      </c>
      <c r="AJ40" s="364" t="s">
        <v>198</v>
      </c>
      <c r="AK40" s="238" t="s">
        <v>153</v>
      </c>
      <c r="AL40" s="246">
        <v>25</v>
      </c>
      <c r="AM40" s="351">
        <f t="shared" si="22"/>
        <v>0</v>
      </c>
      <c r="AN40" s="244"/>
      <c r="AO40" s="238" t="s">
        <v>155</v>
      </c>
      <c r="AP40" s="245">
        <v>25</v>
      </c>
      <c r="AQ40" s="351">
        <f>IF(AO40=0,0,' Horaires hors période scolaire'!$N10)</f>
        <v>0</v>
      </c>
      <c r="AR40" s="249">
        <f>SUM(AQ35:AQ40)</f>
        <v>0</v>
      </c>
      <c r="AS40" s="238" t="s">
        <v>151</v>
      </c>
      <c r="AT40" s="245">
        <v>25</v>
      </c>
      <c r="AU40" s="351">
        <f>IF(AS40=0,0,' Horaires hors période scolaire'!$N6)</f>
        <v>0</v>
      </c>
      <c r="AV40" s="244"/>
    </row>
    <row r="41" spans="1:58" s="189" customFormat="1" ht="10.7" customHeight="1">
      <c r="A41" s="242" t="s">
        <v>154</v>
      </c>
      <c r="B41" s="243">
        <v>26</v>
      </c>
      <c r="C41" s="351">
        <f t="shared" si="21"/>
        <v>0</v>
      </c>
      <c r="D41" s="244"/>
      <c r="E41" s="238" t="s">
        <v>170</v>
      </c>
      <c r="F41" s="245">
        <v>26</v>
      </c>
      <c r="G41" s="359"/>
      <c r="H41" s="232"/>
      <c r="I41" s="238" t="s">
        <v>152</v>
      </c>
      <c r="J41" s="246">
        <v>26</v>
      </c>
      <c r="K41" s="351">
        <f t="shared" si="25"/>
        <v>0</v>
      </c>
      <c r="L41" s="244"/>
      <c r="M41" s="238" t="s">
        <v>154</v>
      </c>
      <c r="N41" s="245">
        <v>26</v>
      </c>
      <c r="O41" s="351">
        <f>IF(M41=0,0,' Horaires hors période scolaire'!$N9)</f>
        <v>0</v>
      </c>
      <c r="P41" s="244"/>
      <c r="Q41" s="238" t="s">
        <v>148</v>
      </c>
      <c r="R41" s="246">
        <v>26</v>
      </c>
      <c r="S41" s="351">
        <f t="shared" si="26"/>
        <v>0</v>
      </c>
      <c r="T41" s="244"/>
      <c r="U41" s="238" t="s">
        <v>153</v>
      </c>
      <c r="V41" s="243">
        <v>26</v>
      </c>
      <c r="W41" s="351">
        <f t="shared" si="23"/>
        <v>0</v>
      </c>
      <c r="X41" s="244"/>
      <c r="Y41" s="238" t="s">
        <v>153</v>
      </c>
      <c r="Z41" s="246">
        <v>26</v>
      </c>
      <c r="AA41" s="351">
        <f t="shared" si="24"/>
        <v>0</v>
      </c>
      <c r="AB41" s="247"/>
      <c r="AC41" s="238" t="s">
        <v>170</v>
      </c>
      <c r="AD41" s="243">
        <v>26</v>
      </c>
      <c r="AE41" s="353">
        <f>IF(AC41=0,0,$AM7)</f>
        <v>0</v>
      </c>
      <c r="AF41" s="232"/>
      <c r="AG41" s="238" t="s">
        <v>151</v>
      </c>
      <c r="AH41" s="243">
        <v>26</v>
      </c>
      <c r="AI41" s="351">
        <f>IF(AG41=0,0,$AM9)</f>
        <v>0</v>
      </c>
      <c r="AJ41" s="244"/>
      <c r="AK41" s="238" t="s">
        <v>154</v>
      </c>
      <c r="AL41" s="246">
        <v>26</v>
      </c>
      <c r="AM41" s="351">
        <f t="shared" si="22"/>
        <v>0</v>
      </c>
      <c r="AN41" s="244"/>
      <c r="AO41" s="238" t="s">
        <v>170</v>
      </c>
      <c r="AP41" s="245">
        <v>26</v>
      </c>
      <c r="AQ41" s="359"/>
      <c r="AR41" s="232"/>
      <c r="AS41" s="238" t="s">
        <v>152</v>
      </c>
      <c r="AT41" s="245">
        <v>26</v>
      </c>
      <c r="AU41" s="351">
        <f>IF(AS41=0,0,' Horaires hors période scolaire'!$N7)</f>
        <v>0</v>
      </c>
      <c r="AV41" s="244"/>
      <c r="AY41" s="241"/>
    </row>
    <row r="42" spans="1:58" s="189" customFormat="1" ht="10.7" customHeight="1" thickBot="1">
      <c r="A42" s="242" t="s">
        <v>155</v>
      </c>
      <c r="B42" s="243">
        <v>27</v>
      </c>
      <c r="C42" s="355"/>
      <c r="D42" s="249">
        <f>SUM(C36:C41)</f>
        <v>0</v>
      </c>
      <c r="E42" s="238" t="s">
        <v>148</v>
      </c>
      <c r="F42" s="245">
        <v>27</v>
      </c>
      <c r="G42" s="351">
        <f>IF(E42=0,0,' Horaires hors période scolaire'!$N5)</f>
        <v>0</v>
      </c>
      <c r="H42" s="244"/>
      <c r="I42" s="238" t="s">
        <v>153</v>
      </c>
      <c r="J42" s="246">
        <v>27</v>
      </c>
      <c r="K42" s="351">
        <f t="shared" si="25"/>
        <v>0</v>
      </c>
      <c r="L42" s="244"/>
      <c r="M42" s="238" t="s">
        <v>155</v>
      </c>
      <c r="N42" s="245">
        <v>27</v>
      </c>
      <c r="O42" s="351">
        <f>IF(M42=0,0,' Horaires hors période scolaire'!$N10)</f>
        <v>0</v>
      </c>
      <c r="P42" s="249">
        <f>SUM(O37:O42)</f>
        <v>0</v>
      </c>
      <c r="Q42" s="238" t="s">
        <v>151</v>
      </c>
      <c r="R42" s="246">
        <v>27</v>
      </c>
      <c r="S42" s="351">
        <f t="shared" si="26"/>
        <v>0</v>
      </c>
      <c r="T42" s="244"/>
      <c r="U42" s="238" t="s">
        <v>154</v>
      </c>
      <c r="V42" s="243">
        <v>27</v>
      </c>
      <c r="W42" s="351">
        <f t="shared" si="23"/>
        <v>0</v>
      </c>
      <c r="X42" s="244"/>
      <c r="Y42" s="238" t="s">
        <v>154</v>
      </c>
      <c r="Z42" s="246">
        <v>27</v>
      </c>
      <c r="AA42" s="351">
        <f t="shared" si="24"/>
        <v>0</v>
      </c>
      <c r="AB42" s="247"/>
      <c r="AC42" s="238" t="s">
        <v>148</v>
      </c>
      <c r="AD42" s="243">
        <v>27</v>
      </c>
      <c r="AE42" s="354">
        <f>IF(AC42=0,0,$AM8)</f>
        <v>0</v>
      </c>
      <c r="AF42" s="244"/>
      <c r="AG42" s="238" t="s">
        <v>152</v>
      </c>
      <c r="AH42" s="243">
        <v>27</v>
      </c>
      <c r="AI42" s="351">
        <f>IF(AG42=0,0,$AM10)</f>
        <v>0</v>
      </c>
      <c r="AJ42" s="244"/>
      <c r="AK42" s="238" t="s">
        <v>155</v>
      </c>
      <c r="AL42" s="246">
        <v>27</v>
      </c>
      <c r="AM42" s="355"/>
      <c r="AN42" s="249">
        <f>SUM(AM36:AM41)</f>
        <v>0</v>
      </c>
      <c r="AO42" s="238" t="s">
        <v>148</v>
      </c>
      <c r="AP42" s="245">
        <v>27</v>
      </c>
      <c r="AQ42" s="351">
        <f>IF(AO42=0,0,' Horaires hors période scolaire'!$N5)</f>
        <v>0</v>
      </c>
      <c r="AR42" s="244"/>
      <c r="AS42" s="238" t="s">
        <v>153</v>
      </c>
      <c r="AT42" s="245">
        <v>27</v>
      </c>
      <c r="AU42" s="351">
        <f>IF(AS42=0,0,' Horaires hors période scolaire'!$N8)</f>
        <v>0</v>
      </c>
      <c r="AV42" s="244"/>
      <c r="AY42" s="241"/>
    </row>
    <row r="43" spans="1:58" s="189" customFormat="1" ht="10.7" customHeight="1" thickBot="1">
      <c r="A43" s="242" t="s">
        <v>170</v>
      </c>
      <c r="B43" s="243">
        <v>28</v>
      </c>
      <c r="C43" s="350">
        <f>IF(A43=0,0,$AM7)</f>
        <v>0</v>
      </c>
      <c r="D43" s="232"/>
      <c r="E43" s="238" t="s">
        <v>151</v>
      </c>
      <c r="F43" s="245">
        <v>28</v>
      </c>
      <c r="G43" s="351">
        <f>IF(E43=0,0,' Horaires hors période scolaire'!$N6)</f>
        <v>0</v>
      </c>
      <c r="H43" s="244"/>
      <c r="I43" s="238" t="s">
        <v>154</v>
      </c>
      <c r="J43" s="246">
        <v>28</v>
      </c>
      <c r="K43" s="351">
        <f t="shared" si="25"/>
        <v>0</v>
      </c>
      <c r="L43" s="244"/>
      <c r="M43" s="238" t="s">
        <v>170</v>
      </c>
      <c r="N43" s="245">
        <v>28</v>
      </c>
      <c r="O43" s="350"/>
      <c r="P43" s="232"/>
      <c r="Q43" s="238" t="s">
        <v>152</v>
      </c>
      <c r="R43" s="246">
        <v>28</v>
      </c>
      <c r="S43" s="351">
        <f t="shared" si="26"/>
        <v>0</v>
      </c>
      <c r="T43" s="244"/>
      <c r="U43" s="238" t="s">
        <v>155</v>
      </c>
      <c r="V43" s="243">
        <v>28</v>
      </c>
      <c r="W43" s="358"/>
      <c r="X43" s="249">
        <f>SUM(W37:W42)</f>
        <v>0</v>
      </c>
      <c r="Y43" s="238" t="s">
        <v>155</v>
      </c>
      <c r="Z43" s="246">
        <v>28</v>
      </c>
      <c r="AA43" s="355"/>
      <c r="AB43" s="249">
        <f>SUM(AA37:AA42)</f>
        <v>0</v>
      </c>
      <c r="AC43" s="238" t="s">
        <v>151</v>
      </c>
      <c r="AD43" s="243">
        <v>28</v>
      </c>
      <c r="AE43" s="354">
        <f>IF(AC43=0,0,$AM9)</f>
        <v>0</v>
      </c>
      <c r="AF43" s="244"/>
      <c r="AG43" s="238" t="s">
        <v>153</v>
      </c>
      <c r="AH43" s="243">
        <v>28</v>
      </c>
      <c r="AI43" s="351">
        <f>IF(AG43=0,0,$AM11)</f>
        <v>0</v>
      </c>
      <c r="AJ43" s="244"/>
      <c r="AK43" s="238" t="s">
        <v>170</v>
      </c>
      <c r="AL43" s="246">
        <v>28</v>
      </c>
      <c r="AM43" s="350">
        <f>IF(AK43=0,0,$AM7)</f>
        <v>0</v>
      </c>
      <c r="AN43" s="232"/>
      <c r="AO43" s="238" t="s">
        <v>151</v>
      </c>
      <c r="AP43" s="245">
        <v>28</v>
      </c>
      <c r="AQ43" s="351">
        <f>IF(AO43=0,0,' Horaires hors période scolaire'!$N6)</f>
        <v>0</v>
      </c>
      <c r="AR43" s="244"/>
      <c r="AS43" s="238" t="s">
        <v>154</v>
      </c>
      <c r="AT43" s="245">
        <v>28</v>
      </c>
      <c r="AU43" s="351">
        <f>IF(AS43=0,0,' Horaires hors période scolaire'!$N9)</f>
        <v>0</v>
      </c>
      <c r="AV43" s="244"/>
      <c r="AY43" s="241"/>
    </row>
    <row r="44" spans="1:58" s="189" customFormat="1" ht="10.7" customHeight="1" thickBot="1">
      <c r="A44" s="242" t="s">
        <v>148</v>
      </c>
      <c r="B44" s="243">
        <v>29</v>
      </c>
      <c r="C44" s="351"/>
      <c r="D44" s="244"/>
      <c r="E44" s="238" t="s">
        <v>152</v>
      </c>
      <c r="F44" s="245">
        <v>29</v>
      </c>
      <c r="G44" s="351">
        <f>IF(E44=0,0,' Horaires hors période scolaire'!$N7)</f>
        <v>0</v>
      </c>
      <c r="H44" s="244"/>
      <c r="I44" s="238" t="s">
        <v>155</v>
      </c>
      <c r="J44" s="246">
        <v>29</v>
      </c>
      <c r="K44" s="355"/>
      <c r="L44" s="249">
        <f>SUM(K38:K43)</f>
        <v>0</v>
      </c>
      <c r="M44" s="238" t="s">
        <v>148</v>
      </c>
      <c r="N44" s="245">
        <v>29</v>
      </c>
      <c r="O44" s="351">
        <f>IF(M44=0,0,' Horaires hors période scolaire'!$N5)</f>
        <v>0</v>
      </c>
      <c r="P44" s="244"/>
      <c r="Q44" s="238" t="s">
        <v>153</v>
      </c>
      <c r="R44" s="246">
        <v>29</v>
      </c>
      <c r="S44" s="351">
        <f t="shared" si="26"/>
        <v>0</v>
      </c>
      <c r="T44" s="244"/>
      <c r="U44" s="238"/>
      <c r="V44" s="258"/>
      <c r="W44" s="350"/>
      <c r="X44" s="232"/>
      <c r="Y44" s="238" t="s">
        <v>170</v>
      </c>
      <c r="Z44" s="246">
        <v>29</v>
      </c>
      <c r="AA44" s="350">
        <f>IF(Y44=0,0,$AM7)</f>
        <v>0</v>
      </c>
      <c r="AB44" s="239"/>
      <c r="AC44" s="238" t="s">
        <v>152</v>
      </c>
      <c r="AD44" s="243">
        <v>29</v>
      </c>
      <c r="AE44" s="354">
        <f>IF(AC44=0,0,$AM10)</f>
        <v>0</v>
      </c>
      <c r="AF44" s="244"/>
      <c r="AG44" s="238" t="s">
        <v>154</v>
      </c>
      <c r="AH44" s="243">
        <v>29</v>
      </c>
      <c r="AI44" s="351">
        <f>IF(AG44=0,0,$AM12)</f>
        <v>0</v>
      </c>
      <c r="AJ44" s="244"/>
      <c r="AK44" s="238" t="s">
        <v>148</v>
      </c>
      <c r="AL44" s="246">
        <v>29</v>
      </c>
      <c r="AM44" s="351">
        <f>IF(AK44=0,0,$AM8)</f>
        <v>0</v>
      </c>
      <c r="AN44" s="244"/>
      <c r="AO44" s="238" t="s">
        <v>152</v>
      </c>
      <c r="AP44" s="245">
        <v>29</v>
      </c>
      <c r="AQ44" s="351">
        <f>IF(AO44=0,0,' Horaires hors période scolaire'!$N7)</f>
        <v>0</v>
      </c>
      <c r="AR44" s="244"/>
      <c r="AS44" s="238" t="s">
        <v>155</v>
      </c>
      <c r="AT44" s="245">
        <v>29</v>
      </c>
      <c r="AU44" s="351">
        <f>IF(AS44=0,0,' Horaires hors période scolaire'!$N10)</f>
        <v>0</v>
      </c>
      <c r="AV44" s="249">
        <f>SUM(AU39:AU44)</f>
        <v>0</v>
      </c>
      <c r="AY44" s="241"/>
    </row>
    <row r="45" spans="1:58" s="189" customFormat="1" ht="10.7" customHeight="1" thickBot="1">
      <c r="A45" s="242" t="s">
        <v>151</v>
      </c>
      <c r="B45" s="243">
        <v>30</v>
      </c>
      <c r="C45" s="351"/>
      <c r="D45" s="244"/>
      <c r="E45" s="238" t="s">
        <v>153</v>
      </c>
      <c r="F45" s="245">
        <v>30</v>
      </c>
      <c r="G45" s="351">
        <f>IF(E45=0,0,' Horaires hors période scolaire'!$N8)</f>
        <v>0</v>
      </c>
      <c r="H45" s="259"/>
      <c r="I45" s="238" t="s">
        <v>170</v>
      </c>
      <c r="J45" s="246">
        <v>30</v>
      </c>
      <c r="K45" s="353">
        <f>IF(I45=0,0,$AM7)</f>
        <v>0</v>
      </c>
      <c r="L45" s="232"/>
      <c r="M45" s="238" t="s">
        <v>151</v>
      </c>
      <c r="N45" s="245">
        <v>30</v>
      </c>
      <c r="O45" s="351">
        <f>IF(M45=0,0,' Horaires hors période scolaire'!$N6)</f>
        <v>0</v>
      </c>
      <c r="P45" s="244"/>
      <c r="Q45" s="238" t="s">
        <v>154</v>
      </c>
      <c r="R45" s="246">
        <v>30</v>
      </c>
      <c r="S45" s="351">
        <f t="shared" si="26"/>
        <v>0</v>
      </c>
      <c r="T45" s="244"/>
      <c r="U45" s="238"/>
      <c r="V45" s="258"/>
      <c r="W45" s="351"/>
      <c r="X45" s="244"/>
      <c r="Y45" s="238" t="s">
        <v>148</v>
      </c>
      <c r="Z45" s="246">
        <v>30</v>
      </c>
      <c r="AA45" s="351">
        <f>IF(Y45=0,0,$AM8)</f>
        <v>0</v>
      </c>
      <c r="AB45" s="247"/>
      <c r="AC45" s="238" t="s">
        <v>153</v>
      </c>
      <c r="AD45" s="243">
        <v>30</v>
      </c>
      <c r="AE45" s="354">
        <f>IF(AC45=0,0,$AM11)</f>
        <v>0</v>
      </c>
      <c r="AF45" s="244"/>
      <c r="AG45" s="238" t="s">
        <v>155</v>
      </c>
      <c r="AH45" s="243">
        <v>30</v>
      </c>
      <c r="AI45" s="355"/>
      <c r="AJ45" s="249">
        <f>SUM(AI39:AI44)</f>
        <v>0</v>
      </c>
      <c r="AK45" s="238" t="s">
        <v>151</v>
      </c>
      <c r="AL45" s="246">
        <v>30</v>
      </c>
      <c r="AM45" s="351">
        <f>IF(AK45=0,0,$AM9)</f>
        <v>0</v>
      </c>
      <c r="AN45" s="244"/>
      <c r="AO45" s="238" t="s">
        <v>153</v>
      </c>
      <c r="AP45" s="245">
        <v>30</v>
      </c>
      <c r="AQ45" s="351">
        <f>IF(AO45=0,0,' Horaires hors période scolaire'!$N8)</f>
        <v>0</v>
      </c>
      <c r="AR45" s="244"/>
      <c r="AS45" s="238" t="s">
        <v>170</v>
      </c>
      <c r="AT45" s="245">
        <v>30</v>
      </c>
      <c r="AU45" s="359"/>
      <c r="AV45" s="232"/>
      <c r="AY45" s="241"/>
      <c r="AZ45" s="520"/>
      <c r="BA45" s="520"/>
      <c r="BB45" s="520"/>
      <c r="BC45" s="520"/>
      <c r="BD45" s="520"/>
      <c r="BE45" s="520"/>
      <c r="BF45" s="521"/>
    </row>
    <row r="46" spans="1:58" s="189" customFormat="1" ht="10.7" customHeight="1" thickBot="1">
      <c r="A46" s="260"/>
      <c r="B46" s="261"/>
      <c r="C46" s="351"/>
      <c r="D46" s="259"/>
      <c r="E46" s="262" t="s">
        <v>154</v>
      </c>
      <c r="F46" s="263">
        <v>31</v>
      </c>
      <c r="G46" s="351">
        <f>IF(E46=0,0,' Horaires hors période scolaire'!$N9)</f>
        <v>0</v>
      </c>
      <c r="H46" s="264"/>
      <c r="I46" s="262"/>
      <c r="J46" s="265"/>
      <c r="K46" s="250"/>
      <c r="L46" s="264"/>
      <c r="M46" s="262" t="s">
        <v>152</v>
      </c>
      <c r="N46" s="263">
        <v>31</v>
      </c>
      <c r="O46" s="351">
        <f>IF(M46=0,0,' Horaires hors période scolaire'!$N7)</f>
        <v>0</v>
      </c>
      <c r="P46" s="244"/>
      <c r="Q46" s="262" t="s">
        <v>155</v>
      </c>
      <c r="R46" s="266">
        <v>31</v>
      </c>
      <c r="S46" s="352"/>
      <c r="T46" s="252">
        <f>SUM(S40:S45)</f>
        <v>0</v>
      </c>
      <c r="U46" s="262"/>
      <c r="V46" s="265"/>
      <c r="W46" s="351"/>
      <c r="X46" s="244"/>
      <c r="Y46" s="262" t="s">
        <v>151</v>
      </c>
      <c r="Z46" s="266">
        <v>31</v>
      </c>
      <c r="AA46" s="351">
        <f>IF(Y46=0,0,$AM9)</f>
        <v>0</v>
      </c>
      <c r="AB46" s="247"/>
      <c r="AC46" s="267"/>
      <c r="AD46" s="265"/>
      <c r="AE46" s="351"/>
      <c r="AF46" s="259"/>
      <c r="AG46" s="262" t="s">
        <v>170</v>
      </c>
      <c r="AH46" s="261">
        <v>31</v>
      </c>
      <c r="AI46" s="353">
        <f>IF(AG46=0,0,$AM7)</f>
        <v>0</v>
      </c>
      <c r="AJ46" s="232"/>
      <c r="AK46" s="262"/>
      <c r="AL46" s="268"/>
      <c r="AM46" s="351">
        <f>IF(AK46=0,0,$S12)</f>
        <v>0</v>
      </c>
      <c r="AN46" s="259"/>
      <c r="AO46" s="262" t="s">
        <v>154</v>
      </c>
      <c r="AP46" s="263">
        <v>31</v>
      </c>
      <c r="AQ46" s="351">
        <f>IF(AO46=0,0,' Horaires hors période scolaire'!$N9)</f>
        <v>0</v>
      </c>
      <c r="AR46" s="259"/>
      <c r="AS46" s="262" t="s">
        <v>148</v>
      </c>
      <c r="AT46" s="263">
        <v>31</v>
      </c>
      <c r="AU46" s="351">
        <f>IF(AS46=0,0,' Horaires hors période scolaire'!$N5)</f>
        <v>0</v>
      </c>
      <c r="AV46" s="244"/>
      <c r="AY46" s="241"/>
    </row>
    <row r="47" spans="1:58" s="272" customFormat="1" thickBot="1">
      <c r="A47" s="269" t="s">
        <v>199</v>
      </c>
      <c r="B47" s="270"/>
      <c r="C47" s="522">
        <f>SUM(C16:C20,C22:C27,C29:C34,C36:C41,C43:C45)</f>
        <v>0</v>
      </c>
      <c r="D47" s="523"/>
      <c r="E47" s="271"/>
      <c r="F47" s="271"/>
      <c r="G47" s="522">
        <f>SUM(G16:G18,G20:G25,G27:G32,G35:G40,G42:G46)</f>
        <v>0</v>
      </c>
      <c r="H47" s="523"/>
      <c r="I47" s="271"/>
      <c r="J47" s="271"/>
      <c r="K47" s="522">
        <f>SUM(K16:K22,K24:K29,K31:K36,K38:K43,K45)</f>
        <v>0</v>
      </c>
      <c r="L47" s="523"/>
      <c r="M47" s="271"/>
      <c r="N47" s="271"/>
      <c r="O47" s="522">
        <f>SUM(O16:O20,O22:O27,O29:O34,O37:O42,O44:O46)</f>
        <v>0</v>
      </c>
      <c r="P47" s="523"/>
      <c r="Q47" s="271"/>
      <c r="R47" s="271"/>
      <c r="S47" s="522">
        <f>SUM(S16:S18,S19:S24,S26:S31,S33:S38,S40:S45)</f>
        <v>0</v>
      </c>
      <c r="T47" s="523"/>
      <c r="U47" s="271"/>
      <c r="V47" s="271"/>
      <c r="W47" s="522">
        <f>SUM(W16:W21,W24:W29,W31:W36,W37:W42)</f>
        <v>0</v>
      </c>
      <c r="X47" s="523"/>
      <c r="Y47" s="271"/>
      <c r="Z47" s="271"/>
      <c r="AA47" s="522">
        <f>SUM(AA16:AA21,AA23:AA28,AA30:AA35,AA37:AA42,AA44:AA46)</f>
        <v>0</v>
      </c>
      <c r="AB47" s="523"/>
      <c r="AC47" s="271"/>
      <c r="AD47" s="271"/>
      <c r="AE47" s="522">
        <f>SUM(AE16:AE18,AE21:AE26,AE28:AE33,AE34:AE39,AE41:AE45)</f>
        <v>0</v>
      </c>
      <c r="AF47" s="523"/>
      <c r="AG47" s="271"/>
      <c r="AH47" s="271"/>
      <c r="AI47" s="522">
        <f>SUM(AI16,AI18:AI23,AI25:AI30,AI32:AI37,AI39:AI44,AI46)</f>
        <v>0</v>
      </c>
      <c r="AJ47" s="523"/>
      <c r="AK47" s="271"/>
      <c r="AL47" s="271"/>
      <c r="AM47" s="522">
        <f>SUM(AM16:AM20,AM22:AM27,AM29:AM34,AM36:AM41,AM43:AM45)</f>
        <v>0</v>
      </c>
      <c r="AN47" s="523"/>
      <c r="AO47" s="271"/>
      <c r="AP47" s="271"/>
      <c r="AQ47" s="522">
        <f>SUM(AQ16:AQ18,AQ21:AQ26,AQ28:AQ33,AQ35:AQ40,AQ42:AQ46)</f>
        <v>0</v>
      </c>
      <c r="AR47" s="523"/>
      <c r="AS47" s="271"/>
      <c r="AT47" s="271"/>
      <c r="AU47" s="522">
        <f>SUM(AU18:AU23,AU25:AU30,AU32:AU37,AU39:AU44,AU46,AU16)</f>
        <v>0</v>
      </c>
      <c r="AV47" s="523"/>
      <c r="AY47" s="360"/>
    </row>
    <row r="48" spans="1:58" s="272" customFormat="1" thickBot="1">
      <c r="A48" s="273" t="s">
        <v>200</v>
      </c>
      <c r="B48" s="403"/>
      <c r="C48" s="524">
        <f>COUNTIF(C16:C20,"RC")+COUNTIF(C22:C27,"RC")+COUNTIF(C29:C34,"RC")+COUNTIF(C36:C41,"RC")+COUNTIF(C43:C45,"RC")</f>
        <v>0</v>
      </c>
      <c r="D48" s="525"/>
      <c r="E48" s="271"/>
      <c r="F48" s="271"/>
      <c r="G48" s="524">
        <f>COUNTIF(G16:G19,"CP")+COUNTIF(G21:G26,"CP")+COUNTIF(G28:G33,"CP")+COUNTIF(G35:G40,"CP")+COUNTIF(G42:G46,"CP")</f>
        <v>0</v>
      </c>
      <c r="H48" s="525"/>
      <c r="I48" s="271"/>
      <c r="J48" s="271"/>
      <c r="K48" s="524">
        <f>COUNTIF(K18:K23,"CP")+COUNTIF(K25,"CP")+COUNTIF(K27:K30,"CP")+COUNTIF(K32:K37,"CP")+COUNTIF(K39:K44,"CP")</f>
        <v>0</v>
      </c>
      <c r="L48" s="525"/>
      <c r="M48" s="271"/>
      <c r="N48" s="271"/>
      <c r="O48" s="524">
        <f>COUNTIF(O16:O21,"CP")+COUNTIF(O23:O28,"CP")+COUNTIF(O30:O35,"CP")+COUNTIF(O37:O39,"CP")+COUNTIF(O41:O42,"CP")+COUNTIF(O44:O46,"CP")</f>
        <v>0</v>
      </c>
      <c r="P48" s="525"/>
      <c r="Q48" s="271"/>
      <c r="R48" s="271"/>
      <c r="S48" s="524">
        <f>COUNTIF(S17:S18,"CP")+COUNTIF(S20:S25,"CP")+COUNTIF(S27:S32,"CP")+COUNTIF(S34:S39,"CP")+COUNTIF(S41:S46,"CP")</f>
        <v>0</v>
      </c>
      <c r="T48" s="525"/>
      <c r="U48" s="271"/>
      <c r="V48" s="271"/>
      <c r="W48" s="524">
        <f>COUNTIF(W17:W22,"CP")+COUNTIF(W24:W29,"CP")+COUNTIF(W31:W36,"CP")+COUNTIF(W38:W43,"CP")</f>
        <v>0</v>
      </c>
      <c r="X48" s="525"/>
      <c r="Y48" s="271"/>
      <c r="Z48" s="271"/>
      <c r="AA48" s="524">
        <f>COUNTIF(AA17:AA22,"CP")+COUNTIF(AA24:AA29,"CP")+COUNTIF(AA31:AA36,"CP")+COUNTIF(AA38:AA43,"CP")+COUNTIF(AA45:AA46,"CP")</f>
        <v>0</v>
      </c>
      <c r="AB48" s="525"/>
      <c r="AC48" s="271"/>
      <c r="AD48" s="271"/>
      <c r="AE48" s="524">
        <f>COUNTIF(AE16:AE19,"CP")+COUNTIF(AE22:AE26,"CP")+COUNTIF(AE28:AE33,"CP")+COUNTIF(AE35:AE40,"CP")+COUNTIF(AE42:AE45,"CP")</f>
        <v>0</v>
      </c>
      <c r="AF48" s="525"/>
      <c r="AG48" s="271"/>
      <c r="AH48" s="271"/>
      <c r="AI48" s="524">
        <f>COUNTIF(AI17,"CP")+COUNTIF(AI19:AI22,"CP")+COUNTIF(AI24,"CP")+COUNTIF(AI26:AI28,"CP")+COUNTIF(AI30:AI31,"CP")+COUNTIF(AI33:AI38,"CP")+COUNTIF(AI41:AI45,"CP")</f>
        <v>0</v>
      </c>
      <c r="AJ48" s="525"/>
      <c r="AK48" s="271"/>
      <c r="AL48" s="271"/>
      <c r="AM48" s="524">
        <f>COUNTIF(AM16:AM21,"CP")+COUNTIF(AM23:AM28,"CP")+COUNTIF(AM30:AM35,"CP")+COUNTIF(AM37:AM42,"CP")+COUNTIF(AM44:AM46,"CP")</f>
        <v>0</v>
      </c>
      <c r="AN48" s="525"/>
      <c r="AO48" s="271"/>
      <c r="AP48" s="271"/>
      <c r="AQ48" s="524">
        <f>COUNTIF(AQ16:AQ19,"CP")+COUNTIF(AQ21:AQ26,"CP")+COUNTIF(AQ28,"CP")+COUNTIF(AQ30:AQ33,"CP")+COUNTIF(AQ35:AQ40,"CP")+COUNTIF(AQ42:AQ46,"CP")</f>
        <v>0</v>
      </c>
      <c r="AR48" s="525"/>
      <c r="AS48" s="271"/>
      <c r="AT48" s="271"/>
      <c r="AU48" s="524">
        <f>COUNTIF(AU16,"CP")+COUNTIF(AU18:AU23,"CP")+COUNTIF(AU25:AU29,"CP")+COUNTIF(AU32:AU37,"CP")+COUNTIF(AU39:AU44,"CP")+COUNTIF(AU46,"CP")</f>
        <v>0</v>
      </c>
      <c r="AV48" s="525"/>
      <c r="AY48" s="360"/>
    </row>
    <row r="49" spans="1:51" s="272" customFormat="1" thickBot="1">
      <c r="A49" s="404" t="s">
        <v>201</v>
      </c>
      <c r="B49" s="405"/>
      <c r="C49" s="526">
        <f>COUNTIF(C16:C46,"0H")</f>
        <v>0</v>
      </c>
      <c r="D49" s="527"/>
      <c r="E49" s="271"/>
      <c r="F49" s="271"/>
      <c r="G49" s="526">
        <f>COUNTIF(G16:G46,"0H")</f>
        <v>0</v>
      </c>
      <c r="H49" s="527"/>
      <c r="I49" s="271"/>
      <c r="J49" s="271"/>
      <c r="K49" s="526">
        <f>COUNTIF(K16:K46,"0H")</f>
        <v>0</v>
      </c>
      <c r="L49" s="527"/>
      <c r="M49" s="271"/>
      <c r="N49" s="271"/>
      <c r="O49" s="526">
        <f>COUNTIF(O16:O46,"0H")</f>
        <v>0</v>
      </c>
      <c r="P49" s="527"/>
      <c r="Q49" s="271"/>
      <c r="R49" s="271"/>
      <c r="S49" s="526">
        <f>COUNTIF(S16:S46,"0H")</f>
        <v>0</v>
      </c>
      <c r="T49" s="527"/>
      <c r="U49" s="271"/>
      <c r="V49" s="271"/>
      <c r="W49" s="526">
        <f>COUNTIF(W16:W46,"0H")</f>
        <v>0</v>
      </c>
      <c r="X49" s="527"/>
      <c r="Y49" s="271"/>
      <c r="Z49" s="271"/>
      <c r="AA49" s="526">
        <f>COUNTIF(AA16:AA46,"0H")</f>
        <v>0</v>
      </c>
      <c r="AB49" s="527"/>
      <c r="AC49" s="271"/>
      <c r="AD49" s="271"/>
      <c r="AE49" s="526">
        <f>COUNTIF(AE16:AE46,"0H")</f>
        <v>0</v>
      </c>
      <c r="AF49" s="527"/>
      <c r="AG49" s="271"/>
      <c r="AH49" s="271"/>
      <c r="AI49" s="526">
        <f>COUNTIF(AI16:AI46,"0H")</f>
        <v>0</v>
      </c>
      <c r="AJ49" s="527"/>
      <c r="AK49" s="271"/>
      <c r="AL49" s="271"/>
      <c r="AM49" s="526">
        <f>COUNTIF(AM16:AM46,"0H")</f>
        <v>0</v>
      </c>
      <c r="AN49" s="527"/>
      <c r="AO49" s="271"/>
      <c r="AP49" s="271"/>
      <c r="AQ49" s="526">
        <f>COUNTIF(AQ16:AQ46,"0H")</f>
        <v>0</v>
      </c>
      <c r="AR49" s="527"/>
      <c r="AS49" s="271"/>
      <c r="AT49" s="271"/>
      <c r="AU49" s="526">
        <f>COUNTIF(AU16:AU46,"0H")</f>
        <v>0</v>
      </c>
      <c r="AV49" s="527"/>
      <c r="AY49" s="360"/>
    </row>
    <row r="50" spans="1:51" s="272" customFormat="1" thickBot="1">
      <c r="A50" s="586" t="s">
        <v>202</v>
      </c>
      <c r="B50" s="530"/>
      <c r="C50" s="586">
        <f>COUNTIF(C16:C45,"RC")</f>
        <v>0</v>
      </c>
      <c r="D50" s="530"/>
      <c r="E50" s="271"/>
      <c r="F50" s="271"/>
      <c r="G50" s="529">
        <f>COUNTIF(G16:G18,"RC")+COUNTIF(G20:G25,"RC")+COUNTIF(G27:G32,"RC")+COUNTIF(G34:G39,"RC")+COUNTIF(G41:G46,"RC")</f>
        <v>0</v>
      </c>
      <c r="H50" s="530"/>
      <c r="I50" s="271"/>
      <c r="J50" s="271"/>
      <c r="K50" s="529">
        <f>COUNTIF(K17:K22,"RC")+COUNTIF(K24:K25,"RC")+COUNTIF(K27:K29,"RC")+COUNTIF(K31:K36,"RC")+COUNTIF(K38:K43,"RC")+COUNTIF(K45,"RC")</f>
        <v>0</v>
      </c>
      <c r="L50" s="530"/>
      <c r="M50" s="271"/>
      <c r="N50" s="271"/>
      <c r="O50" s="529">
        <f>COUNTIF(O16:O20,"RC")+COUNTIF(O22:O27,"RC")+COUNTIF(O29:O34,"RC")+COUNTIF(O36:O39,"RC")+COUNTIF(O41,"RC")+COUNTIF(O43:O46,"RC")</f>
        <v>0</v>
      </c>
      <c r="P50" s="530"/>
      <c r="Q50" s="271"/>
      <c r="R50" s="271"/>
      <c r="S50" s="529">
        <f>COUNTIF(S17,"RC")+COUNTIF(S19:S24,"RC")+COUNTIF(S26:S31,"RC")+COUNTIF(S33:S38,"RC")+COUNTIF(S40:S45,"RC")</f>
        <v>0</v>
      </c>
      <c r="T50" s="530"/>
      <c r="U50" s="271"/>
      <c r="V50" s="271"/>
      <c r="W50" s="529">
        <f>COUNTIF(W16:W21,"RC")+COUNTIF(W23:W28,"RC")+COUNTIF(W30:W35,"RC")+COUNTIF(W37:W42,"RC")</f>
        <v>0</v>
      </c>
      <c r="X50" s="530"/>
      <c r="Y50" s="271"/>
      <c r="Z50" s="271"/>
      <c r="AA50" s="529">
        <f>COUNTIF(AA16:AA21,"RC")+COUNTIF(AA23:AA28,"RC")+COUNTIF(AA30:AA35,"RC")+COUNTIF(AA37:AA42,"RC")+COUNTIF(AA44:AA46,"RC")</f>
        <v>0</v>
      </c>
      <c r="AB50" s="530"/>
      <c r="AC50" s="271"/>
      <c r="AD50" s="271"/>
      <c r="AE50" s="529">
        <f>COUNTIF(AE16:AE18,"RC")+COUNTIF(AE20,"RC")+COUNTIF(AE22:AE25,"RC")+COUNTIF(AE27:AE32,"RC")+COUNTIF(AE34:AE39,"RC")+COUNTIF(AE41:AE45,"RC")</f>
        <v>0</v>
      </c>
      <c r="AF50" s="530"/>
      <c r="AG50" s="271"/>
      <c r="AH50" s="271"/>
      <c r="AI50" s="529">
        <f>COUNTIF(AI18:AI22,"RC")+COUNTIF(AI46,"RC")+COUNTIF(AI25:AI28,"RC")+COUNTIF(AI30,"RC")+COUNTIF(AI39,"RC")+COUNTIF(AI32:AI37,"RC")+COUNTIF(AI41:AI44,"RC")</f>
        <v>0</v>
      </c>
      <c r="AJ50" s="530"/>
      <c r="AK50" s="271"/>
      <c r="AL50" s="271"/>
      <c r="AM50" s="529">
        <f>COUNTIF(AM16:AM20,"RC")+COUNTIF(AM22:AM27,"RC")+COUNTIF(AM29:AM34,"RC")+COUNTIF(AM36:AM41,"RC")+COUNTIF(AM43:AM45,"RC")</f>
        <v>0</v>
      </c>
      <c r="AN50" s="530"/>
      <c r="AO50" s="271"/>
      <c r="AP50" s="271"/>
      <c r="AQ50" s="529">
        <f>COUNTIF(AQ16:AQ18,"RC")+COUNTIF(AQ20:AQ25,"RC")+COUNTIF(AQ27:AQ28,"RC")+COUNTIF(AQ30:AQ32,"RC")+COUNTIF(AQ34:AQ39,"RC")+COUNTIF(AQ41:AQ46,"RC")</f>
        <v>0</v>
      </c>
      <c r="AR50" s="530"/>
      <c r="AS50" s="271"/>
      <c r="AT50" s="271"/>
      <c r="AU50" s="529">
        <f>COUNTIF(AU45:AU46,"RC")+COUNTIF(AU17:AU22,"RC")+COUNTIF(AU24:AU29,"RC")+COUNTIF(AU31:AU36,"RC")+COUNTIF(AU38:AU43,"RC")</f>
        <v>0</v>
      </c>
      <c r="AV50" s="530"/>
      <c r="AY50" s="360"/>
    </row>
    <row r="51" spans="1:51" s="195" customFormat="1" ht="8.25" customHeight="1" thickBot="1">
      <c r="A51" s="274"/>
      <c r="B51" s="274"/>
      <c r="C51" s="275"/>
      <c r="D51" s="275"/>
      <c r="E51" s="276"/>
      <c r="F51" s="274"/>
      <c r="G51" s="275"/>
      <c r="H51" s="275"/>
      <c r="I51" s="276"/>
      <c r="J51" s="274"/>
      <c r="K51" s="275"/>
      <c r="L51" s="275"/>
      <c r="M51" s="276"/>
      <c r="N51" s="274"/>
      <c r="O51" s="275"/>
      <c r="P51" s="275"/>
      <c r="Q51" s="276"/>
      <c r="R51" s="274"/>
      <c r="S51" s="275"/>
      <c r="T51" s="275"/>
      <c r="U51" s="276"/>
      <c r="V51" s="274"/>
      <c r="W51" s="275"/>
      <c r="X51" s="275"/>
      <c r="Y51" s="276"/>
      <c r="Z51" s="274"/>
      <c r="AA51" s="275"/>
      <c r="AB51" s="276"/>
      <c r="AC51" s="276"/>
      <c r="AD51" s="274"/>
      <c r="AE51" s="275"/>
      <c r="AF51" s="275"/>
      <c r="AG51" s="276"/>
      <c r="AH51" s="274"/>
      <c r="AI51" s="275"/>
      <c r="AJ51" s="275"/>
      <c r="AK51" s="276"/>
      <c r="AL51" s="274"/>
      <c r="AM51" s="275"/>
      <c r="AN51" s="275"/>
      <c r="AO51" s="276"/>
      <c r="AP51" s="274"/>
      <c r="AQ51" s="275"/>
      <c r="AR51" s="275"/>
      <c r="AS51" s="276"/>
      <c r="AT51" s="274"/>
      <c r="AU51" s="275"/>
      <c r="AV51" s="275"/>
      <c r="AY51" s="361"/>
    </row>
    <row r="52" spans="1:51" ht="15.75" thickBot="1">
      <c r="A52" s="277" t="s">
        <v>203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8">
        <f>C48+G48+K48+O48+S48+W48+AA48+AE48+AI48+AM48+AQ48+AU48</f>
        <v>0</v>
      </c>
      <c r="L52" s="279"/>
      <c r="M52" s="189"/>
      <c r="N52" s="189"/>
      <c r="O52" s="189"/>
      <c r="P52" s="189"/>
      <c r="Q52" s="272"/>
      <c r="R52" s="190"/>
      <c r="S52" s="189"/>
      <c r="T52" s="189"/>
      <c r="U52" s="272"/>
      <c r="V52" s="190"/>
      <c r="W52" s="189"/>
      <c r="X52" s="189"/>
      <c r="Y52" s="272"/>
      <c r="Z52" s="190"/>
      <c r="AA52" s="189"/>
      <c r="AB52" s="272"/>
      <c r="AC52" s="272"/>
      <c r="AD52" s="190"/>
      <c r="AE52" s="189"/>
      <c r="AF52" s="189"/>
      <c r="AG52" s="272"/>
      <c r="AH52" s="190"/>
      <c r="AI52" s="189"/>
      <c r="AJ52" s="189"/>
      <c r="AK52" s="272"/>
      <c r="AL52" s="190"/>
      <c r="AM52" s="189"/>
      <c r="AN52" s="189"/>
      <c r="AO52" s="272"/>
      <c r="AP52" s="190"/>
      <c r="AQ52" s="189"/>
      <c r="AR52" s="189"/>
      <c r="AS52" s="272"/>
      <c r="AT52" s="190"/>
      <c r="AU52" s="189"/>
      <c r="AV52" s="189"/>
      <c r="AY52" s="361"/>
    </row>
    <row r="53" spans="1:51" ht="15.75" thickBot="1">
      <c r="A53" s="280" t="s">
        <v>204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1">
        <f>C49+G49+K49+O49+S49+W49+AA49+AE49+AI49+AM49+AQ49+AU49</f>
        <v>0</v>
      </c>
      <c r="N53" s="283"/>
      <c r="P53" s="279"/>
      <c r="Q53" s="272"/>
      <c r="R53" s="190"/>
      <c r="S53" s="189"/>
      <c r="T53" s="189"/>
      <c r="U53" s="272"/>
      <c r="V53" s="190"/>
      <c r="W53" s="189"/>
      <c r="X53" s="189"/>
      <c r="Y53" s="272"/>
      <c r="Z53" s="190"/>
      <c r="AA53" s="189"/>
      <c r="AB53" s="272"/>
      <c r="AC53" s="272"/>
      <c r="AD53" s="190"/>
      <c r="AE53" s="189"/>
      <c r="AF53" s="189"/>
      <c r="AG53" s="272"/>
      <c r="AH53" s="190"/>
      <c r="AI53" s="189"/>
      <c r="AJ53" s="189"/>
      <c r="AK53" s="272"/>
      <c r="AL53" s="190"/>
      <c r="AM53" s="189"/>
      <c r="AN53" s="189"/>
      <c r="AO53" s="272"/>
      <c r="AP53" s="190"/>
      <c r="AQ53" s="189"/>
      <c r="AR53" s="189"/>
      <c r="AS53" s="272"/>
      <c r="AT53" s="190"/>
      <c r="AU53" s="189"/>
      <c r="AV53" s="189"/>
    </row>
    <row r="54" spans="1:51" ht="15.75" thickBot="1">
      <c r="A54" s="315" t="s">
        <v>205</v>
      </c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6">
        <f>SUM(C50,G50,K50,O50,S50,W50,AA50,AE50,AI50,AM50,AQ50,AU50)</f>
        <v>0</v>
      </c>
      <c r="P54" s="279"/>
      <c r="Q54" s="272"/>
      <c r="R54" s="190"/>
      <c r="S54" s="189"/>
      <c r="T54" s="189"/>
      <c r="U54" s="272"/>
      <c r="V54" s="190"/>
      <c r="W54" s="189"/>
      <c r="X54" s="189"/>
      <c r="Y54" s="272"/>
      <c r="Z54" s="190"/>
      <c r="AA54" s="189"/>
      <c r="AB54" s="272"/>
      <c r="AC54" s="272"/>
      <c r="AD54" s="190"/>
      <c r="AE54" s="189"/>
      <c r="AF54" s="189"/>
      <c r="AG54" s="272"/>
      <c r="AH54" s="190"/>
      <c r="AI54" s="189"/>
      <c r="AJ54" s="189"/>
      <c r="AK54" s="272"/>
      <c r="AL54" s="190"/>
      <c r="AM54" s="189"/>
      <c r="AN54" s="189"/>
      <c r="AO54" s="272"/>
      <c r="AP54" s="190"/>
      <c r="AQ54" s="189"/>
      <c r="AR54" s="189"/>
      <c r="AS54" s="272"/>
      <c r="AT54" s="190"/>
      <c r="AU54" s="189"/>
      <c r="AV54" s="189"/>
    </row>
    <row r="55" spans="1:51">
      <c r="A55" s="545" t="s">
        <v>206</v>
      </c>
      <c r="B55" s="545"/>
      <c r="C55" s="545"/>
      <c r="D55" s="407"/>
      <c r="E55" s="189"/>
      <c r="F55" s="189"/>
      <c r="G55" s="282" t="s">
        <v>207</v>
      </c>
      <c r="H55" s="282"/>
      <c r="I55" s="282"/>
      <c r="J55" s="282"/>
      <c r="K55" s="282"/>
      <c r="L55" s="282"/>
      <c r="M55" s="282"/>
      <c r="N55" s="282"/>
      <c r="O55" s="282"/>
      <c r="P55" s="283"/>
      <c r="Q55" s="272"/>
      <c r="R55" s="190"/>
      <c r="S55" s="189"/>
      <c r="T55" s="189"/>
      <c r="U55" s="272"/>
      <c r="V55" s="190"/>
      <c r="W55" s="189"/>
      <c r="X55" s="189"/>
      <c r="Y55" s="272"/>
      <c r="Z55" s="190"/>
      <c r="AA55" s="189"/>
      <c r="AB55" s="272"/>
      <c r="AC55" s="272"/>
      <c r="AD55" s="190"/>
      <c r="AE55" s="189"/>
      <c r="AF55" s="189"/>
      <c r="AG55" s="272"/>
      <c r="AH55" s="190"/>
      <c r="AI55" s="189"/>
      <c r="AJ55" s="189"/>
      <c r="AK55" s="272"/>
      <c r="AL55" s="190"/>
      <c r="AM55" s="189"/>
      <c r="AN55" s="189"/>
      <c r="AO55" s="272"/>
      <c r="AP55" s="190"/>
      <c r="AQ55" s="189"/>
      <c r="AR55" s="189"/>
      <c r="AS55" s="272"/>
      <c r="AT55" s="190"/>
      <c r="AU55" s="189"/>
      <c r="AV55" s="189"/>
    </row>
    <row r="56" spans="1:51" ht="7.5" customHeight="1" thickBot="1"/>
    <row r="57" spans="1:51" s="189" customFormat="1" ht="22.5" customHeight="1" thickBot="1">
      <c r="A57" s="335"/>
      <c r="B57" s="332" t="s">
        <v>208</v>
      </c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493">
        <f>'Prépa planning SURV. INTERNAT'!F48</f>
        <v>1477</v>
      </c>
      <c r="R57" s="494"/>
      <c r="S57" s="495"/>
      <c r="T57" s="332"/>
      <c r="U57" s="500" t="s">
        <v>209</v>
      </c>
      <c r="V57" s="503" t="s">
        <v>210</v>
      </c>
      <c r="W57" s="504"/>
      <c r="X57" s="505"/>
      <c r="Y57" s="509" t="s">
        <v>211</v>
      </c>
      <c r="Z57" s="510"/>
      <c r="AA57" s="332"/>
      <c r="AB57" s="335"/>
      <c r="AC57" s="336"/>
      <c r="AD57" s="336"/>
      <c r="AE57" s="336"/>
      <c r="AF57" s="336"/>
      <c r="AG57" s="336"/>
      <c r="AH57" s="337" t="s">
        <v>212</v>
      </c>
      <c r="AI57" s="336"/>
      <c r="AJ57" s="591" t="str">
        <f>'Prépa planning SURV. INTERNAT'!D32</f>
        <v>TOURS*</v>
      </c>
      <c r="AK57" s="591"/>
      <c r="AL57" s="591"/>
      <c r="AM57" s="591"/>
      <c r="AN57" s="591"/>
      <c r="AO57" s="591"/>
      <c r="AP57" s="591"/>
      <c r="AQ57" s="591"/>
      <c r="AR57" s="337" t="s">
        <v>213</v>
      </c>
      <c r="AS57" s="531">
        <f ca="1">TODAY()</f>
        <v>45909</v>
      </c>
      <c r="AT57" s="531"/>
      <c r="AU57" s="531"/>
      <c r="AV57" s="338"/>
    </row>
    <row r="58" spans="1:51" s="189" customFormat="1" ht="17.25" customHeight="1" thickBot="1">
      <c r="A58" s="251"/>
      <c r="B58" s="284"/>
      <c r="C58" s="284"/>
      <c r="D58" s="284"/>
      <c r="E58" s="339"/>
      <c r="F58" s="339"/>
      <c r="G58" s="339"/>
      <c r="H58" s="339"/>
      <c r="I58" s="339"/>
      <c r="J58" s="339"/>
      <c r="K58" s="340"/>
      <c r="L58" s="340"/>
      <c r="M58" s="340"/>
      <c r="N58" s="340"/>
      <c r="O58" s="341" t="s">
        <v>214</v>
      </c>
      <c r="P58" s="340"/>
      <c r="Q58" s="515">
        <f>'Prépa planning SURV. INTERNAT'!F43</f>
        <v>7</v>
      </c>
      <c r="R58" s="516"/>
      <c r="S58" s="517"/>
      <c r="T58" s="284"/>
      <c r="U58" s="501"/>
      <c r="V58" s="506"/>
      <c r="W58" s="507"/>
      <c r="X58" s="508"/>
      <c r="Y58" s="511"/>
      <c r="Z58" s="512"/>
      <c r="AA58" s="285"/>
      <c r="AB58" s="343"/>
      <c r="AC58" s="290" t="s">
        <v>215</v>
      </c>
      <c r="AD58" s="286"/>
      <c r="AE58" s="286"/>
      <c r="AF58" s="286"/>
      <c r="AG58" s="286"/>
      <c r="AH58" s="286"/>
      <c r="AI58" s="286"/>
      <c r="AJ58" s="286"/>
      <c r="AK58" s="286"/>
      <c r="AL58" s="285"/>
      <c r="AM58" s="285"/>
      <c r="AN58" s="285"/>
      <c r="AO58" s="285"/>
      <c r="AP58" s="287"/>
      <c r="AQ58" s="287"/>
      <c r="AR58" s="287"/>
      <c r="AS58" s="287"/>
      <c r="AT58" s="287"/>
      <c r="AU58" s="288"/>
      <c r="AV58" s="289"/>
    </row>
    <row r="59" spans="1:51" s="189" customFormat="1" ht="17.25" thickBot="1">
      <c r="A59" s="251"/>
      <c r="B59" s="284" t="s">
        <v>216</v>
      </c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493">
        <f>+C47+G47+K47+O47+S47+W47+AA47+AE47+AI47+AM47+AQ47+AU47</f>
        <v>0</v>
      </c>
      <c r="R59" s="494"/>
      <c r="S59" s="495"/>
      <c r="T59" s="284"/>
      <c r="U59" s="501"/>
      <c r="V59" s="347" t="s">
        <v>217</v>
      </c>
      <c r="W59" s="323"/>
      <c r="X59" s="324">
        <f>COUNTIF(C22,"&gt;0")+COUNTIF(C29,"&gt;0")+COUNTIF(C36,"&gt;0")+COUNTIF(AI46,"&gt;0")+COUNTIF(G20,"&gt;0")+COUNTIF(G27,"&gt;0")+COUNTIF(K17,"&gt;0")+COUNTIF(K24,"&gt;0")+COUNTIF(K31,"&gt;0")+COUNTIF(K38,"&gt;0")+COUNTIF(C43,"&gt;0")+COUNTIF(O22,"&gt;0")+COUNTIF(O29,"&gt;0")+COUNTIF(S19,"&gt;0")+COUNTIF(S26,"&gt;0")+COUNTIF(S33,"&gt;0")+COUNTIF(S40,"&gt;0")+COUNTIF(W16,"&gt;0")+COUNTIF(W37,"&gt;0")+COUNTIF(AA16,"&gt;0")+COUNTIF(AA23,"&gt;0")+COUNTIF(AA30,"&gt;0")+COUNTIF(AA37,"&gt;0")+COUNTIF(AA44,"&gt;0")+COUNTIF(AE34,"&gt;0")+COUNTIF(AI32,"&gt;0")+COUNTIF(AI39,"&gt;0")+COUNTIF(AE41,"&gt;0")+COUNTIF(AM22,"&gt;0")+COUNTIF(AM29,"&gt;0")+COUNTIF(AM36,"&gt;0")+COUNTIF(AM43,"&gt;0")+COUNTIF(AI18,"&gt;0")+COUNTIF(AI25,"&gt;0")+COUNTIF(K45,"&gt;0")</f>
        <v>0</v>
      </c>
      <c r="Y59" s="513">
        <f t="shared" ref="Y59:Y64" si="27">IF(X59&gt;0,X59*AR7*10%,0)</f>
        <v>0</v>
      </c>
      <c r="Z59" s="514"/>
      <c r="AA59" s="284"/>
      <c r="AB59" s="344"/>
      <c r="AC59" s="292" t="s">
        <v>218</v>
      </c>
      <c r="AD59" s="291"/>
      <c r="AE59" s="291"/>
      <c r="AF59" s="291"/>
      <c r="AG59" s="285"/>
      <c r="AH59" s="285"/>
      <c r="AI59" s="285"/>
      <c r="AJ59" s="285"/>
      <c r="AK59" s="334" t="s">
        <v>219</v>
      </c>
      <c r="AL59" s="284"/>
      <c r="AM59" s="331"/>
      <c r="AN59" s="528" t="str">
        <f>'Prépa planning SURV. INTERNAT'!D34</f>
        <v>MONSIEUR*</v>
      </c>
      <c r="AO59" s="528"/>
      <c r="AP59" s="528"/>
      <c r="AQ59" s="528"/>
      <c r="AR59" s="528"/>
      <c r="AS59" s="528"/>
      <c r="AT59" s="528"/>
      <c r="AU59" s="528"/>
      <c r="AV59" s="293"/>
    </row>
    <row r="60" spans="1:51" s="189" customFormat="1" ht="17.25" thickBot="1">
      <c r="A60" s="251"/>
      <c r="B60" s="284" t="s">
        <v>220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493">
        <f>Y65</f>
        <v>0</v>
      </c>
      <c r="R60" s="494"/>
      <c r="S60" s="495"/>
      <c r="T60" s="284"/>
      <c r="U60" s="501"/>
      <c r="V60" s="348" t="s">
        <v>221</v>
      </c>
      <c r="W60" s="325"/>
      <c r="X60" s="326">
        <f>COUNTIF(C16,"&gt;0")+COUNTIF(C23,"&gt;0")+COUNTIF(C30,"&gt;0")+COUNTIF(C37,"&gt;0")+COUNTIF(C44,"&gt;0")+COUNTIF(G21,"&gt;0")+COUNTIF(G28,"&gt;0")+COUNTIF(K18,"&gt;0")+COUNTIF(K25,"&gt;0")+COUNTIF(K32,"&gt;0")+COUNTIF(K39,"&gt;0")+COUNTIF(O16,"&gt;0")+COUNTIF(O23,"&gt;0")+COUNTIF(O30,"&gt;0")+COUNTIF(S20,"&gt;0")+COUNTIF(S27,"&gt;0")+COUNTIF(S34,"&gt;0")+COUNTIF(S41,"&gt;0")+COUNTIF(W17,"&gt;0")+COUNTIF(W38,"&gt;0")+COUNTIF(AA17,"&gt;0")+COUNTIF(AA24,"&gt;0")+COUNTIF(AA31,"&gt;0")+COUNTIF(AA38,"&gt;0")+COUNTIF(AE42,"&gt;0")+COUNTIF(AE35,"&gt;0")+COUNTIF(AI33,"&gt;0")+COUNTIF(AI26,"&gt;0")+COUNTIF(AM16,"&gt;0")+COUNTIF(AM23,"&gt;0")+COUNTIF(AM30,"&gt;0")+COUNTIF(AM37,"&gt;0")+COUNTIF(AI19,"&gt;0")+COUNTIF(AA45,"&gt;0")+COUNTIF(AM44,"&gt;0")+COUNTIF(AI40,"&gt;0")</f>
        <v>0</v>
      </c>
      <c r="Y60" s="498">
        <f t="shared" si="27"/>
        <v>0</v>
      </c>
      <c r="Z60" s="499"/>
      <c r="AA60" s="290"/>
      <c r="AB60" s="344"/>
      <c r="AC60" s="284"/>
      <c r="AD60" s="291"/>
      <c r="AE60" s="291"/>
      <c r="AF60" s="291"/>
      <c r="AG60" s="285"/>
      <c r="AH60" s="285"/>
      <c r="AI60" s="285"/>
      <c r="AJ60" s="285"/>
      <c r="AK60" s="333"/>
      <c r="AL60" s="496" t="s">
        <v>222</v>
      </c>
      <c r="AM60" s="496"/>
      <c r="AN60" s="496"/>
      <c r="AO60" s="496"/>
      <c r="AP60" s="496"/>
      <c r="AQ60" s="496"/>
      <c r="AR60" s="496"/>
      <c r="AS60" s="496"/>
      <c r="AT60" s="496"/>
      <c r="AU60" s="496"/>
      <c r="AV60" s="497"/>
    </row>
    <row r="61" spans="1:51" s="189" customFormat="1" ht="17.25" thickBot="1">
      <c r="A61" s="251"/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5" t="s">
        <v>223</v>
      </c>
      <c r="P61" s="285"/>
      <c r="Q61" s="294">
        <f>Q57-Q59-Q60</f>
        <v>1477</v>
      </c>
      <c r="R61" s="295"/>
      <c r="S61" s="296"/>
      <c r="T61" s="284"/>
      <c r="U61" s="501"/>
      <c r="V61" s="348" t="s">
        <v>224</v>
      </c>
      <c r="W61" s="327"/>
      <c r="X61" s="326">
        <f>COUNTIF(C17,"&gt;0")+COUNTIF(C24,"&gt;0")+COUNTIF(C31,"&gt;0")+COUNTIF(C38,"&gt;0")+COUNTIF(C45,"&gt;0")+COUNTIF(G22,"&gt;0")+COUNTIF(G29,"&gt;0")+COUNTIF(K19,"&gt;0")+COUNTIF(AA46,"&gt;0")+COUNTIF(K33,"&gt;0")+COUNTIF(K40,"&gt;0")+COUNTIF(O17,"&gt;0")+COUNTIF(O24,"&gt;0")+COUNTIF(O31,"&gt;0")+COUNTIF(S21,"&gt;0")+COUNTIF(S28,"&gt;0")+COUNTIF(S35,"&gt;0")+COUNTIF(S42,"&gt;0")+COUNTIF(W18,"&gt;0")+COUNTIF(W39,"&gt;0")+COUNTIF(AA18,"&gt;0")+COUNTIF(AA25,"&gt;0")+COUNTIF(AA32,"&gt;0")+COUNTIF(AA39,"&gt;0")+COUNTIF(AE43,"&gt;0")+COUNTIF(AE36,"&gt;0")+COUNTIF(AI34,"&gt;0")+COUNTIF(AI41,"&gt;0")+COUNTIF(AM17,"&gt;0")+COUNTIF(AM24,"&gt;0")+COUNTIF(AM31,"&gt;0")+COUNTIF(AM38,"&gt;0")+COUNTIF(AI20,"&gt;0")+COUNTIF(AI27,"&gt;0")+COUNTIF(AM45,"&gt;0")+COUNTIF(K26,"&gt;0")</f>
        <v>0</v>
      </c>
      <c r="Y61" s="498">
        <f t="shared" si="27"/>
        <v>0</v>
      </c>
      <c r="Z61" s="499"/>
      <c r="AA61" s="284"/>
      <c r="AB61" s="344"/>
      <c r="AC61" s="592" t="str">
        <f>'Prépa planning SURV. INTERNAT'!D33</f>
        <v>MADAME*</v>
      </c>
      <c r="AD61" s="592"/>
      <c r="AE61" s="592"/>
      <c r="AF61" s="592"/>
      <c r="AG61" s="592"/>
      <c r="AH61" s="592"/>
      <c r="AI61" s="592"/>
      <c r="AJ61" s="285"/>
      <c r="AK61" s="333"/>
      <c r="AL61" s="496" t="s">
        <v>225</v>
      </c>
      <c r="AM61" s="496"/>
      <c r="AN61" s="496"/>
      <c r="AO61" s="496"/>
      <c r="AP61" s="496"/>
      <c r="AQ61" s="496"/>
      <c r="AR61" s="496"/>
      <c r="AS61" s="496"/>
      <c r="AT61" s="496"/>
      <c r="AU61" s="496"/>
      <c r="AV61" s="497"/>
    </row>
    <row r="62" spans="1:51" s="189" customFormat="1" ht="15" customHeight="1">
      <c r="A62" s="251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5"/>
      <c r="P62" s="285"/>
      <c r="Q62" s="284"/>
      <c r="R62" s="284"/>
      <c r="S62" s="297"/>
      <c r="T62" s="321"/>
      <c r="U62" s="501"/>
      <c r="V62" s="348" t="s">
        <v>226</v>
      </c>
      <c r="W62" s="328"/>
      <c r="X62" s="326">
        <f>COUNTIF(C18,"&gt;0")+COUNTIF(C25,"&gt;0")+COUNTIF(C32,"&gt;0")+COUNTIF(C39,"&gt;0")+COUNTIF(G16,"&gt;0")+COUNTIF(G23,"&gt;0")+COUNTIF(G30,"&gt;0")+COUNTIF(K20,"&gt;0")+COUNTIF(K27,"&gt;0")+COUNTIF(K34,"&gt;0")+COUNTIF(K41,"&gt;0")+COUNTIF(O18,"&gt;0")+COUNTIF(O25,"&gt;0")+COUNTIF(O32,"&gt;0")+COUNTIF(S22,"&gt;0")+COUNTIF(S29,"&gt;0")+COUNTIF(S36,"&gt;0")+COUNTIF(S43,"&gt;0")+COUNTIF(W19,"&gt;0")+COUNTIF(W40,"&gt;0")+COUNTIF(AA19,"&gt;0")+COUNTIF(AA26,"&gt;0")+COUNTIF(AA33,"&gt;0")+COUNTIF(AA40,"&gt;0")+COUNTIF(AE16,"&gt;0")+COUNTIF(AE37,"&gt;0")+COUNTIF(AI35,"&gt;0")+COUNTIF(AI42,"&gt;0")+COUNTIF(AM18,"&gt;0")+COUNTIF(AM25,"&gt;0")+COUNTIF(AM32,"&gt;0")+COUNTIF(AM39,"&gt;0")+COUNTIF(AQ16,"&gt;0")+COUNTIF(AE44,"&gt;0")+COUNTIF(AI21,"&gt;0")+COUNTIF(AI28,"&gt;0")</f>
        <v>0</v>
      </c>
      <c r="Y62" s="498">
        <f t="shared" si="27"/>
        <v>0</v>
      </c>
      <c r="Z62" s="499"/>
      <c r="AA62" s="292"/>
      <c r="AB62" s="344"/>
      <c r="AC62" s="408"/>
      <c r="AD62" s="408"/>
      <c r="AE62" s="408"/>
      <c r="AF62" s="408"/>
      <c r="AG62" s="408"/>
      <c r="AH62" s="408"/>
      <c r="AI62" s="408"/>
      <c r="AJ62" s="285"/>
      <c r="AK62" s="333"/>
      <c r="AL62" s="496" t="s">
        <v>227</v>
      </c>
      <c r="AM62" s="496"/>
      <c r="AN62" s="496"/>
      <c r="AO62" s="496"/>
      <c r="AP62" s="496"/>
      <c r="AQ62" s="496"/>
      <c r="AR62" s="496"/>
      <c r="AS62" s="496"/>
      <c r="AT62" s="496"/>
      <c r="AU62" s="496"/>
      <c r="AV62" s="497"/>
    </row>
    <row r="63" spans="1:51" s="189" customFormat="1" ht="16.5" customHeight="1">
      <c r="A63" s="251"/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320"/>
      <c r="O63" s="285"/>
      <c r="U63" s="501"/>
      <c r="V63" s="348" t="s">
        <v>228</v>
      </c>
      <c r="W63" s="328"/>
      <c r="X63" s="326">
        <f>COUNTIF(C19,"&gt;0")+COUNTIF(C26,"&gt;0")+COUNTIF(C33,"&gt;0")+COUNTIF(C40,"&gt;0")+COUNTIF(G17,"&gt;0")+COUNTIF(G24,"&gt;0")+COUNTIF(G31,"&gt;0")+COUNTIF(K21,"&gt;0")+COUNTIF(K28,"&gt;0")+COUNTIF(K35,"&gt;0")+COUNTIF(K42,"&gt;0")+COUNTIF(O19,"&gt;0")+COUNTIF(O26,"&gt;0")+COUNTIF(O33,"&gt;0")+COUNTIF(S23,"&gt;0")+COUNTIF(S30,"&gt;0")+COUNTIF(S37,"&gt;0")+COUNTIF(S44,"&gt;0")+COUNTIF(W20,"&gt;0")+COUNTIF(W41,"&gt;0")+COUNTIF(AA20,"&gt;0")+COUNTIF(AA27,"&gt;0")+COUNTIF(AA34,"&gt;0")+COUNTIF(AA41,"&gt;0")+COUNTIF(AE17,"&gt;0")+COUNTIF(AE38,"&gt;0")+COUNTIF(AI36,"&gt;0")+COUNTIF(AI43,"&gt;0")+COUNTIF(AM19,"&gt;0")+COUNTIF(AM26,"&gt;0")+COUNTIF(AM33,"&gt;0")+COUNTIF(AM40,"&gt;0")+COUNTIF(AQ17,"&gt;0")+COUNTIF(AE45,"&gt;0")+COUNTIF(AI22,"&gt;0")+COUNTIF(AI29,"&gt;0")</f>
        <v>0</v>
      </c>
      <c r="Y63" s="498">
        <f t="shared" si="27"/>
        <v>0</v>
      </c>
      <c r="Z63" s="499"/>
      <c r="AA63" s="292"/>
      <c r="AB63" s="344"/>
      <c r="AC63" s="284"/>
      <c r="AD63" s="284"/>
      <c r="AE63" s="284"/>
      <c r="AF63" s="284"/>
      <c r="AG63" s="284"/>
      <c r="AH63" s="284"/>
      <c r="AI63" s="284"/>
      <c r="AJ63" s="285"/>
      <c r="AK63" s="333"/>
      <c r="AL63" s="409"/>
      <c r="AM63" s="409"/>
      <c r="AN63" s="409"/>
      <c r="AO63" s="409"/>
      <c r="AP63" s="409"/>
      <c r="AQ63" s="409"/>
      <c r="AR63" s="409"/>
      <c r="AS63" s="409"/>
      <c r="AT63" s="409"/>
      <c r="AU63" s="409"/>
      <c r="AV63" s="410"/>
    </row>
    <row r="64" spans="1:51" s="189" customFormat="1" ht="17.25" customHeight="1" thickBot="1">
      <c r="A64" s="251"/>
      <c r="B64" s="284" t="s">
        <v>160</v>
      </c>
      <c r="C64" s="284"/>
      <c r="D64" s="284"/>
      <c r="E64" s="285" t="str">
        <f>'Prépa planning SURV. INTERNAT'!F39</f>
        <v>2 - EPNL 51 jours de CP</v>
      </c>
      <c r="F64" s="285"/>
      <c r="G64" s="285"/>
      <c r="H64" s="285"/>
      <c r="I64" s="285"/>
      <c r="J64" s="284"/>
      <c r="K64" s="285"/>
      <c r="L64" s="284"/>
      <c r="M64" s="284"/>
      <c r="N64" s="320"/>
      <c r="O64" s="317"/>
      <c r="U64" s="501"/>
      <c r="V64" s="349" t="s">
        <v>229</v>
      </c>
      <c r="W64" s="329"/>
      <c r="X64" s="330">
        <f>COUNTIF(C20,"&gt;0")+COUNTIF(C27,"&gt;0")+COUNTIF(C34,"&gt;0")+COUNTIF(C41,"&gt;0")+COUNTIF(G18,"&gt;0")+COUNTIF(G25,"&gt;0")+COUNTIF(G32,"&gt;0")+COUNTIF(K22,"&gt;0")+COUNTIF(K29,"&gt;0")+COUNTIF(K36,"&gt;0")+COUNTIF(K43,"&gt;0")+COUNTIF(O20,"&gt;0")+COUNTIF(O27,"&gt;0")+COUNTIF(O34,"&gt;0")+COUNTIF(S24,"&gt;0")+COUNTIF(S31,"&gt;0")+COUNTIF(S38,"&gt;0")+COUNTIF(S45,"&gt;0")+COUNTIF(W21,"&gt;0")+COUNTIF(W42,"&gt;0")+COUNTIF(AA21,"&gt;0")+COUNTIF(AA28,"&gt;0")+COUNTIF(AA35,"&gt;0")+COUNTIF(AA42,"&gt;0")+COUNTIF(AE18,"&gt;0")+COUNTIF(AE39,"&gt;0")+COUNTIF(AI37,"&gt;0")+COUNTIF(AI44,"&gt;0")+COUNTIF(AM20,"&gt;0")+COUNTIF(AM27,"&gt;0")+COUNTIF(AM34,"&gt;0")+COUNTIF(AM41,"&gt;0")+COUNTIF(AQ18,"&gt;0")+COUNTIF(AI16,"&gt;0")+COUNTIF(AI23,"&gt;0")</f>
        <v>0</v>
      </c>
      <c r="Y64" s="498">
        <f t="shared" si="27"/>
        <v>0</v>
      </c>
      <c r="Z64" s="499"/>
      <c r="AA64" s="284"/>
      <c r="AB64" s="251"/>
      <c r="AC64" s="284"/>
      <c r="AD64" s="284"/>
      <c r="AE64" s="284"/>
      <c r="AF64" s="284"/>
      <c r="AG64" s="284"/>
      <c r="AH64" s="285"/>
      <c r="AI64" s="285"/>
      <c r="AJ64" s="285"/>
      <c r="AK64" s="251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410"/>
    </row>
    <row r="65" spans="1:48" s="189" customFormat="1" ht="17.25" thickBot="1">
      <c r="A65" s="251"/>
      <c r="B65" s="284" t="s">
        <v>230</v>
      </c>
      <c r="C65" s="284"/>
      <c r="D65" s="284"/>
      <c r="E65" s="284"/>
      <c r="F65" s="284"/>
      <c r="G65" s="284"/>
      <c r="H65" s="284"/>
      <c r="I65" s="286">
        <f>'Prépa planning SURV. INTERNAT'!F47</f>
        <v>51</v>
      </c>
      <c r="J65" s="284"/>
      <c r="K65" s="284"/>
      <c r="L65" s="284"/>
      <c r="M65" s="284"/>
      <c r="N65" s="320"/>
      <c r="O65" s="318"/>
      <c r="U65" s="502"/>
      <c r="V65" s="322"/>
      <c r="W65" s="346" t="s">
        <v>147</v>
      </c>
      <c r="X65" s="346"/>
      <c r="Y65" s="518">
        <f>SUM(Y59:Z64)</f>
        <v>0</v>
      </c>
      <c r="Z65" s="519"/>
      <c r="AA65" s="285"/>
      <c r="AB65" s="334"/>
      <c r="AC65" s="292"/>
      <c r="AD65" s="292"/>
      <c r="AE65" s="292"/>
      <c r="AF65" s="292"/>
      <c r="AG65" s="285"/>
      <c r="AH65" s="285"/>
      <c r="AI65" s="285"/>
      <c r="AJ65" s="285"/>
      <c r="AK65" s="251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410"/>
    </row>
    <row r="66" spans="1:48" s="189" customFormat="1" ht="17.25" thickBot="1">
      <c r="A66" s="251"/>
      <c r="B66" s="284" t="s">
        <v>231</v>
      </c>
      <c r="C66" s="284"/>
      <c r="D66" s="284"/>
      <c r="E66" s="284"/>
      <c r="F66" s="284"/>
      <c r="G66" s="284"/>
      <c r="H66" s="284"/>
      <c r="I66" s="342">
        <f>'Prépa planning SURV. INTERNAT'!F51</f>
        <v>1</v>
      </c>
      <c r="J66" s="284"/>
      <c r="K66" s="284"/>
      <c r="L66" s="284"/>
      <c r="M66" s="284"/>
      <c r="N66" s="320"/>
      <c r="O66" s="319"/>
      <c r="U66" s="587" t="s">
        <v>232</v>
      </c>
      <c r="V66" s="588"/>
      <c r="W66" s="588"/>
      <c r="X66" s="589"/>
      <c r="Y66" s="590">
        <f>ROUNDUP(Y65/(7*I66),0)</f>
        <v>0</v>
      </c>
      <c r="Z66" s="519"/>
      <c r="AA66" s="285"/>
      <c r="AB66" s="334"/>
      <c r="AC66" s="292"/>
      <c r="AD66" s="292"/>
      <c r="AE66" s="292"/>
      <c r="AF66" s="292"/>
      <c r="AG66" s="285"/>
      <c r="AH66" s="285"/>
      <c r="AI66" s="285"/>
      <c r="AJ66" s="285"/>
      <c r="AK66" s="333"/>
      <c r="AL66" s="409"/>
      <c r="AM66" s="409"/>
      <c r="AN66" s="409"/>
      <c r="AO66" s="409"/>
      <c r="AP66" s="409"/>
      <c r="AQ66" s="409"/>
      <c r="AR66" s="409"/>
      <c r="AS66" s="409"/>
      <c r="AT66" s="409"/>
      <c r="AU66" s="409"/>
      <c r="AV66" s="410"/>
    </row>
    <row r="67" spans="1:48" s="189" customFormat="1" ht="17.25" thickBot="1">
      <c r="A67" s="251"/>
      <c r="B67" s="298" t="s">
        <v>233</v>
      </c>
      <c r="C67" s="299"/>
      <c r="D67" s="299"/>
      <c r="E67" s="299"/>
      <c r="F67" s="299"/>
      <c r="G67" s="299"/>
      <c r="H67" s="299"/>
      <c r="I67" s="300">
        <f>'Prépa planning SURV. INTERNAT'!F50</f>
        <v>151.66666666666666</v>
      </c>
      <c r="J67" s="301" t="s">
        <v>234</v>
      </c>
      <c r="K67" s="302"/>
      <c r="L67" s="285"/>
      <c r="M67" s="284"/>
      <c r="N67" s="320"/>
      <c r="O67" s="284"/>
      <c r="V67" s="284"/>
      <c r="W67" s="284"/>
      <c r="X67" s="284"/>
      <c r="Y67" s="284"/>
      <c r="Z67" s="284"/>
      <c r="AA67" s="402"/>
      <c r="AB67" s="345"/>
      <c r="AC67" s="285"/>
      <c r="AD67" s="285"/>
      <c r="AE67" s="285"/>
      <c r="AF67" s="285"/>
      <c r="AG67" s="285"/>
      <c r="AH67" s="285"/>
      <c r="AI67" s="285"/>
      <c r="AJ67" s="285"/>
      <c r="AK67" s="251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410"/>
    </row>
    <row r="68" spans="1:48" s="189" customFormat="1" ht="9.75" customHeight="1" thickBot="1">
      <c r="A68" s="248"/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4"/>
      <c r="T68" s="304"/>
      <c r="U68" s="305"/>
      <c r="V68" s="303"/>
      <c r="W68" s="303"/>
      <c r="X68" s="303"/>
      <c r="Y68" s="303"/>
      <c r="Z68" s="303"/>
      <c r="AA68" s="303"/>
      <c r="AB68" s="248"/>
      <c r="AC68" s="303"/>
      <c r="AD68" s="303"/>
      <c r="AE68" s="303"/>
      <c r="AF68" s="303"/>
      <c r="AG68" s="303"/>
      <c r="AH68" s="303"/>
      <c r="AI68" s="303"/>
      <c r="AJ68" s="303"/>
      <c r="AK68" s="248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6"/>
    </row>
  </sheetData>
  <sheetProtection formatCells="0" formatColumns="0" formatRows="0" pivotTables="0"/>
  <protectedRanges>
    <protectedRange sqref="F1:F2 W1:W2" name="Plage1"/>
    <protectedRange sqref="Z7:AB12 AD7:AF12 AY9 D7:E12 G7:H12 J7:L12 N7:P12 R7:T12 V7:X12" name="Plage2"/>
    <protectedRange sqref="C16:C45 K16:K45 G16:G46 O37:O39 O41:O42 O44:O46 S17:S18 W24:W29 W31:W36 AE22:AE26 AE28:AE33 AQ21:AQ26 AQ28 AQ30:AQ33 AQ35:AQ40 AQ42:AQ46 AU16 AU18:AU23 AU25:AU29 AU32:AU37 AU39:AU44 AU46" name="Plage3"/>
    <protectedRange sqref="S16 O16:O36 W16:W23 O40 O43 S19:S46 W30 W37:W43" name="Plage4"/>
    <protectedRange sqref="AA16:AA46 AE16:AE21 AI16:AI46 AE27 AE34:AE45" name="Plage5"/>
    <protectedRange sqref="AM16:AM45 AQ16:AQ20 AU17 AQ27 AQ29 AQ34 AQ41 AU24 AU30:AU31 AU38 AU45" name="Plage6"/>
    <protectedRange sqref="Q52:AV55 AB57:AV68" name="Plage7"/>
  </protectedRanges>
  <mergeCells count="187">
    <mergeCell ref="U66:X66"/>
    <mergeCell ref="Y66:Z66"/>
    <mergeCell ref="W50:X50"/>
    <mergeCell ref="AA50:AB50"/>
    <mergeCell ref="AE50:AF50"/>
    <mergeCell ref="AI50:AJ50"/>
    <mergeCell ref="AJ57:AQ57"/>
    <mergeCell ref="AC61:AI61"/>
    <mergeCell ref="AM50:AN50"/>
    <mergeCell ref="AQ50:AR50"/>
    <mergeCell ref="AP6:AV6"/>
    <mergeCell ref="AR7:AV7"/>
    <mergeCell ref="AR8:AV8"/>
    <mergeCell ref="AR9:AV9"/>
    <mergeCell ref="AR10:AV10"/>
    <mergeCell ref="AR11:AV11"/>
    <mergeCell ref="A50:B50"/>
    <mergeCell ref="C50:D50"/>
    <mergeCell ref="G50:H50"/>
    <mergeCell ref="K50:L50"/>
    <mergeCell ref="O50:P50"/>
    <mergeCell ref="S50:T50"/>
    <mergeCell ref="AG6:AJ6"/>
    <mergeCell ref="A15:D15"/>
    <mergeCell ref="E15:H15"/>
    <mergeCell ref="I15:L15"/>
    <mergeCell ref="M15:P15"/>
    <mergeCell ref="Q15:T15"/>
    <mergeCell ref="U15:X15"/>
    <mergeCell ref="AG15:AJ15"/>
    <mergeCell ref="AH7:AJ7"/>
    <mergeCell ref="V11:X11"/>
    <mergeCell ref="I6:P6"/>
    <mergeCell ref="I5:X5"/>
    <mergeCell ref="Q6:X6"/>
    <mergeCell ref="C4:AF4"/>
    <mergeCell ref="Y5:AF6"/>
    <mergeCell ref="N7:P7"/>
    <mergeCell ref="R7:T7"/>
    <mergeCell ref="V7:X7"/>
    <mergeCell ref="C5:H6"/>
    <mergeCell ref="G7:H7"/>
    <mergeCell ref="AD7:AF7"/>
    <mergeCell ref="Z7:AB7"/>
    <mergeCell ref="F1:U1"/>
    <mergeCell ref="F2:Q2"/>
    <mergeCell ref="R12:T12"/>
    <mergeCell ref="S47:T47"/>
    <mergeCell ref="S48:T48"/>
    <mergeCell ref="W2:AM2"/>
    <mergeCell ref="N9:P9"/>
    <mergeCell ref="N10:P10"/>
    <mergeCell ref="R8:T8"/>
    <mergeCell ref="R9:T9"/>
    <mergeCell ref="R10:T10"/>
    <mergeCell ref="V8:X8"/>
    <mergeCell ref="Z9:AB9"/>
    <mergeCell ref="AK6:AO6"/>
    <mergeCell ref="AM8:AO8"/>
    <mergeCell ref="G47:H47"/>
    <mergeCell ref="G48:H48"/>
    <mergeCell ref="AH13:AJ13"/>
    <mergeCell ref="AH8:AJ8"/>
    <mergeCell ref="AH9:AJ9"/>
    <mergeCell ref="AH10:AJ10"/>
    <mergeCell ref="AH11:AJ11"/>
    <mergeCell ref="AH12:AJ12"/>
    <mergeCell ref="J11:L11"/>
    <mergeCell ref="AP7:AQ7"/>
    <mergeCell ref="AP8:AQ8"/>
    <mergeCell ref="AK7:AL7"/>
    <mergeCell ref="AM7:AO7"/>
    <mergeCell ref="AK8:AL8"/>
    <mergeCell ref="AK15:AN15"/>
    <mergeCell ref="S49:T49"/>
    <mergeCell ref="G49:H49"/>
    <mergeCell ref="K47:L47"/>
    <mergeCell ref="K48:L48"/>
    <mergeCell ref="K49:L49"/>
    <mergeCell ref="O47:P47"/>
    <mergeCell ref="J12:L12"/>
    <mergeCell ref="V9:X9"/>
    <mergeCell ref="V10:X10"/>
    <mergeCell ref="G8:H8"/>
    <mergeCell ref="G9:H9"/>
    <mergeCell ref="G10:H10"/>
    <mergeCell ref="G11:H11"/>
    <mergeCell ref="G12:H12"/>
    <mergeCell ref="V12:X12"/>
    <mergeCell ref="AD8:AF8"/>
    <mergeCell ref="AD9:AF9"/>
    <mergeCell ref="AD10:AF10"/>
    <mergeCell ref="A7:B7"/>
    <mergeCell ref="D7:E7"/>
    <mergeCell ref="J7:L7"/>
    <mergeCell ref="J10:L10"/>
    <mergeCell ref="Z8:AB8"/>
    <mergeCell ref="AK10:AL10"/>
    <mergeCell ref="O48:P48"/>
    <mergeCell ref="W47:X47"/>
    <mergeCell ref="D8:E8"/>
    <mergeCell ref="D9:E9"/>
    <mergeCell ref="D10:E10"/>
    <mergeCell ref="A11:B11"/>
    <mergeCell ref="N11:P11"/>
    <mergeCell ref="A12:B12"/>
    <mergeCell ref="N8:P8"/>
    <mergeCell ref="C47:D47"/>
    <mergeCell ref="W48:X48"/>
    <mergeCell ref="C48:D48"/>
    <mergeCell ref="D11:E11"/>
    <mergeCell ref="D12:E12"/>
    <mergeCell ref="AD11:AF11"/>
    <mergeCell ref="AD12:AF12"/>
    <mergeCell ref="AA48:AB48"/>
    <mergeCell ref="AK9:AL9"/>
    <mergeCell ref="A8:B8"/>
    <mergeCell ref="J8:L8"/>
    <mergeCell ref="J9:L9"/>
    <mergeCell ref="AP10:AQ10"/>
    <mergeCell ref="A10:B10"/>
    <mergeCell ref="Z10:AB10"/>
    <mergeCell ref="AM9:AO9"/>
    <mergeCell ref="AP9:AQ9"/>
    <mergeCell ref="A9:B9"/>
    <mergeCell ref="A55:C55"/>
    <mergeCell ref="N12:P12"/>
    <mergeCell ref="R11:T11"/>
    <mergeCell ref="AE49:AF49"/>
    <mergeCell ref="AI49:AJ49"/>
    <mergeCell ref="AE48:AF48"/>
    <mergeCell ref="AI48:AJ48"/>
    <mergeCell ref="AK11:AL11"/>
    <mergeCell ref="AQ49:AR49"/>
    <mergeCell ref="AM11:AO11"/>
    <mergeCell ref="AP11:AQ11"/>
    <mergeCell ref="AM13:AO13"/>
    <mergeCell ref="AP13:AQ13"/>
    <mergeCell ref="AP12:AQ12"/>
    <mergeCell ref="Z11:AB11"/>
    <mergeCell ref="AE47:AF47"/>
    <mergeCell ref="AR12:AV12"/>
    <mergeCell ref="AR13:AV13"/>
    <mergeCell ref="O49:P49"/>
    <mergeCell ref="W49:X49"/>
    <mergeCell ref="C49:D49"/>
    <mergeCell ref="AA49:AB49"/>
    <mergeCell ref="AO15:AR15"/>
    <mergeCell ref="AS15:AV15"/>
    <mergeCell ref="AA47:AB47"/>
    <mergeCell ref="AI47:AJ47"/>
    <mergeCell ref="AC15:AF15"/>
    <mergeCell ref="AK13:AL13"/>
    <mergeCell ref="AK12:AL12"/>
    <mergeCell ref="AM12:AO12"/>
    <mergeCell ref="Z12:AB12"/>
    <mergeCell ref="Y15:AB15"/>
    <mergeCell ref="AM10:AO10"/>
    <mergeCell ref="AM47:AN47"/>
    <mergeCell ref="AZ45:BF45"/>
    <mergeCell ref="AU47:AV47"/>
    <mergeCell ref="AU48:AV48"/>
    <mergeCell ref="AU49:AV49"/>
    <mergeCell ref="AN59:AU59"/>
    <mergeCell ref="AM48:AN48"/>
    <mergeCell ref="AM49:AN49"/>
    <mergeCell ref="AQ48:AR48"/>
    <mergeCell ref="AU50:AV50"/>
    <mergeCell ref="AS57:AU57"/>
    <mergeCell ref="AQ47:AR47"/>
    <mergeCell ref="Q60:S60"/>
    <mergeCell ref="AL60:AV60"/>
    <mergeCell ref="AL61:AV61"/>
    <mergeCell ref="AL62:AV62"/>
    <mergeCell ref="Y60:Z60"/>
    <mergeCell ref="Y61:Z61"/>
    <mergeCell ref="Y62:Z62"/>
    <mergeCell ref="Q57:S57"/>
    <mergeCell ref="U57:U65"/>
    <mergeCell ref="V57:X58"/>
    <mergeCell ref="Y57:Z58"/>
    <mergeCell ref="Y59:Z59"/>
    <mergeCell ref="Q58:S58"/>
    <mergeCell ref="Q59:S59"/>
    <mergeCell ref="Y65:Z65"/>
    <mergeCell ref="Y64:Z64"/>
    <mergeCell ref="Y63:Z63"/>
  </mergeCells>
  <conditionalFormatting sqref="P38:P39">
    <cfRule type="cellIs" dxfId="36" priority="13" stopIfTrue="1" operator="greaterThan">
      <formula>40</formula>
    </cfRule>
  </conditionalFormatting>
  <conditionalFormatting sqref="AV19 AR21:AR22 AV26 AF29 X32 AV33 AR36 AV40 AR43 AE42:AF45 H36:H37">
    <cfRule type="cellIs" dxfId="35" priority="14" stopIfTrue="1" operator="greaterThan">
      <formula>40</formula>
    </cfRule>
  </conditionalFormatting>
  <conditionalFormatting sqref="K17:L17 AB22 AB29 AB36 AB43 S19:T19 AA16 AE41:AF41 D21 D28 D35 D42 H19 H26 H33:H34 H40:H41 L23 L30 L37 L44 P21 P28 P35:P36 T25 T32 T39 T46 X22 X29:X30 X36:X37 AF19 AF26:AF27 AF33:AF34 AJ17 AJ24 AI32:AJ32 AJ31 AJ38 AJ45 AN21 AN28 AN35 AN42 AR19:AR20 AR26:AR27 AR33:AR34 AR40:AR41 AV16:AV17 AV23:AV24 AV30:AV31 AV37:AV38 AV44:AV45 P42:P43">
    <cfRule type="cellIs" dxfId="34" priority="12" stopIfTrue="1" operator="greaterThan">
      <formula>40</formula>
    </cfRule>
  </conditionalFormatting>
  <conditionalFormatting sqref="L16">
    <cfRule type="cellIs" dxfId="33" priority="10" stopIfTrue="1" operator="greaterThan">
      <formula>40</formula>
    </cfRule>
  </conditionalFormatting>
  <conditionalFormatting sqref="T18">
    <cfRule type="cellIs" dxfId="32" priority="9" stopIfTrue="1" operator="greaterThan">
      <formula>40</formula>
    </cfRule>
  </conditionalFormatting>
  <conditionalFormatting sqref="X43">
    <cfRule type="cellIs" dxfId="31" priority="8" stopIfTrue="1" operator="greaterThan">
      <formula>40</formula>
    </cfRule>
  </conditionalFormatting>
  <conditionalFormatting sqref="AF40">
    <cfRule type="cellIs" dxfId="30" priority="7" stopIfTrue="1" operator="greaterThan">
      <formula>40</formula>
    </cfRule>
  </conditionalFormatting>
  <conditionalFormatting sqref="I66">
    <cfRule type="cellIs" dxfId="29" priority="5" stopIfTrue="1" operator="greaterThan">
      <formula>1</formula>
    </cfRule>
  </conditionalFormatting>
  <conditionalFormatting sqref="I67">
    <cfRule type="cellIs" dxfId="28" priority="2" stopIfTrue="1" operator="greaterThan">
      <formula>151.67</formula>
    </cfRule>
    <cfRule type="cellIs" dxfId="27" priority="4" stopIfTrue="1" operator="greaterThan">
      <formula>"151.67"</formula>
    </cfRule>
  </conditionalFormatting>
  <conditionalFormatting sqref="K52">
    <cfRule type="cellIs" dxfId="26" priority="15" stopIfTrue="1" operator="notEqual">
      <formula>$I$65</formula>
    </cfRule>
  </conditionalFormatting>
  <conditionalFormatting sqref="O54">
    <cfRule type="cellIs" dxfId="25" priority="1" stopIfTrue="1" operator="notEqual">
      <formula>$Y$66</formula>
    </cfRule>
  </conditionalFormatting>
  <printOptions horizontalCentered="1" verticalCentered="1"/>
  <pageMargins left="0.19685039370078741" right="0.19685039370078741" top="0.19685039370078741" bottom="0.31496062992125984" header="0.51181102362204722" footer="0.15748031496062992"/>
  <pageSetup paperSize="9" scale="60" orientation="landscape" r:id="rId1"/>
  <headerFooter alignWithMargins="0">
    <oddFooter>&amp;L&amp;"Comic Sans MS,Normal"&amp;7&amp;D&amp;C&amp;"Comic Sans MS,Normal"&amp;7&amp;A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18AA4-FB58-449D-9B5A-A2EB8F189733}">
  <sheetPr>
    <tabColor theme="4" tint="-0.249977111117893"/>
    <pageSetUpPr fitToPage="1"/>
  </sheetPr>
  <dimension ref="A1:BF68"/>
  <sheetViews>
    <sheetView showZeros="0" topLeftCell="A12" zoomScaleNormal="100" workbookViewId="0">
      <selection activeCell="G56" sqref="G56"/>
    </sheetView>
  </sheetViews>
  <sheetFormatPr defaultColWidth="11.42578125" defaultRowHeight="15"/>
  <cols>
    <col min="1" max="1" width="7.140625" style="192" customWidth="1"/>
    <col min="2" max="2" width="2.85546875" style="193" customWidth="1"/>
    <col min="3" max="3" width="6" style="194" customWidth="1"/>
    <col min="4" max="4" width="4.28515625" style="194" customWidth="1"/>
    <col min="5" max="5" width="7.140625" style="192" customWidth="1"/>
    <col min="6" max="6" width="2.85546875" style="193" customWidth="1"/>
    <col min="7" max="7" width="6" style="194" customWidth="1"/>
    <col min="8" max="8" width="4.28515625" style="194" customWidth="1"/>
    <col min="9" max="9" width="8.28515625" style="192" customWidth="1"/>
    <col min="10" max="10" width="2.85546875" style="193" customWidth="1"/>
    <col min="11" max="11" width="6" style="194" customWidth="1"/>
    <col min="12" max="12" width="4.28515625" style="194" customWidth="1"/>
    <col min="13" max="13" width="7.140625" style="192" customWidth="1"/>
    <col min="14" max="14" width="2.85546875" style="193" customWidth="1"/>
    <col min="15" max="15" width="6" style="194" customWidth="1"/>
    <col min="16" max="16" width="4.28515625" style="194" customWidth="1"/>
    <col min="17" max="17" width="7.140625" style="192" customWidth="1"/>
    <col min="18" max="18" width="2.85546875" style="193" customWidth="1"/>
    <col min="19" max="19" width="5.85546875" style="194" customWidth="1"/>
    <col min="20" max="20" width="4.28515625" style="194" customWidth="1"/>
    <col min="21" max="21" width="7.140625" style="192" customWidth="1"/>
    <col min="22" max="22" width="2.85546875" style="193" customWidth="1"/>
    <col min="23" max="23" width="6" style="194" customWidth="1"/>
    <col min="24" max="24" width="4.28515625" style="194" customWidth="1"/>
    <col min="25" max="25" width="7.140625" style="192" customWidth="1"/>
    <col min="26" max="26" width="2.85546875" style="193" customWidth="1"/>
    <col min="27" max="27" width="6" style="194" customWidth="1"/>
    <col min="28" max="28" width="4.28515625" style="192" customWidth="1"/>
    <col min="29" max="29" width="7.140625" style="192" customWidth="1"/>
    <col min="30" max="30" width="2.85546875" style="193" customWidth="1"/>
    <col min="31" max="31" width="6" style="194" customWidth="1"/>
    <col min="32" max="32" width="4.28515625" style="194" customWidth="1"/>
    <col min="33" max="33" width="7.140625" style="192" customWidth="1"/>
    <col min="34" max="34" width="2.85546875" style="193" customWidth="1"/>
    <col min="35" max="35" width="6" style="194" customWidth="1"/>
    <col min="36" max="36" width="4.28515625" style="194" customWidth="1"/>
    <col min="37" max="37" width="7.140625" style="192" customWidth="1"/>
    <col min="38" max="38" width="2.85546875" style="193" customWidth="1"/>
    <col min="39" max="39" width="6" style="194" customWidth="1"/>
    <col min="40" max="40" width="4.28515625" style="194" customWidth="1"/>
    <col min="41" max="41" width="7.140625" style="192" customWidth="1"/>
    <col min="42" max="42" width="2.85546875" style="193" customWidth="1"/>
    <col min="43" max="43" width="6" style="194" customWidth="1"/>
    <col min="44" max="44" width="4.28515625" style="194" customWidth="1"/>
    <col min="45" max="45" width="7.140625" style="192" customWidth="1"/>
    <col min="46" max="46" width="2.85546875" style="193" customWidth="1"/>
    <col min="47" max="47" width="6" style="194" customWidth="1"/>
    <col min="48" max="48" width="4.28515625" style="194" customWidth="1"/>
    <col min="49" max="50" width="3.28515625" style="194" customWidth="1"/>
    <col min="51" max="16384" width="11.42578125" style="194"/>
  </cols>
  <sheetData>
    <row r="1" spans="1:52" s="187" customFormat="1" ht="18.75" customHeight="1">
      <c r="A1" s="185" t="s">
        <v>156</v>
      </c>
      <c r="B1" s="186"/>
      <c r="E1" s="188" t="s">
        <v>157</v>
      </c>
      <c r="F1" s="564" t="str">
        <f>'Prépa planning SURV. INTERNAT'!D31</f>
        <v>ASREC CENTRE*</v>
      </c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W1" s="187" t="str">
        <f>'Prépa planning SURV. INTERNAT'!D32</f>
        <v>TOURS*</v>
      </c>
      <c r="AR1" s="187" t="s">
        <v>158</v>
      </c>
    </row>
    <row r="2" spans="1:52" s="189" customFormat="1" ht="16.5">
      <c r="A2" s="185" t="s">
        <v>159</v>
      </c>
      <c r="B2" s="186"/>
      <c r="C2" s="187"/>
      <c r="D2" s="187"/>
      <c r="E2" s="188" t="s">
        <v>157</v>
      </c>
      <c r="F2" s="564" t="str">
        <f>'Prépa planning SURV. INTERNAT'!D34</f>
        <v>MONSIEUR*</v>
      </c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187"/>
      <c r="U2" s="185" t="s">
        <v>160</v>
      </c>
      <c r="V2" s="190"/>
      <c r="W2" s="564" t="str">
        <f>'Prépa planning SURV. INTERNAT'!D35</f>
        <v>EMPLOYE*</v>
      </c>
      <c r="X2" s="564"/>
      <c r="Y2" s="564"/>
      <c r="Z2" s="564"/>
      <c r="AA2" s="564"/>
      <c r="AB2" s="564"/>
      <c r="AC2" s="564"/>
      <c r="AD2" s="564"/>
      <c r="AE2" s="564"/>
      <c r="AF2" s="564"/>
      <c r="AG2" s="564"/>
      <c r="AH2" s="564"/>
      <c r="AI2" s="564"/>
      <c r="AJ2" s="564"/>
      <c r="AK2" s="564"/>
      <c r="AL2" s="564"/>
      <c r="AM2" s="564"/>
      <c r="AN2" s="406"/>
      <c r="AO2" s="191"/>
      <c r="AP2" s="191"/>
      <c r="AQ2" s="191"/>
      <c r="AR2" s="191"/>
      <c r="AS2" s="191"/>
      <c r="AT2" s="191"/>
      <c r="AU2" s="191"/>
      <c r="AV2" s="191"/>
      <c r="AW2" s="187"/>
      <c r="AX2" s="187"/>
    </row>
    <row r="3" spans="1:52" ht="9.75" customHeight="1" thickBot="1"/>
    <row r="4" spans="1:52" ht="16.5" customHeight="1" thickBot="1">
      <c r="A4" s="195"/>
      <c r="B4" s="196"/>
      <c r="C4" s="576" t="s">
        <v>161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8"/>
      <c r="AG4" s="194"/>
      <c r="AH4" s="194"/>
      <c r="AK4" s="194"/>
      <c r="AL4" s="194"/>
      <c r="AO4" s="194"/>
      <c r="AP4" s="194"/>
      <c r="AS4" s="194"/>
      <c r="AT4" s="194"/>
      <c r="AW4" s="197"/>
    </row>
    <row r="5" spans="1:52" ht="16.5" customHeight="1" thickBot="1">
      <c r="A5" s="195"/>
      <c r="B5" s="196"/>
      <c r="C5" s="579" t="s">
        <v>162</v>
      </c>
      <c r="D5" s="580"/>
      <c r="E5" s="580"/>
      <c r="F5" s="580"/>
      <c r="G5" s="580"/>
      <c r="H5" s="581"/>
      <c r="I5" s="572" t="s">
        <v>163</v>
      </c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4"/>
      <c r="Y5" s="579" t="s">
        <v>164</v>
      </c>
      <c r="Z5" s="580"/>
      <c r="AA5" s="580"/>
      <c r="AB5" s="580"/>
      <c r="AC5" s="580"/>
      <c r="AD5" s="580"/>
      <c r="AE5" s="580"/>
      <c r="AF5" s="581"/>
      <c r="AG5" s="194"/>
      <c r="AH5" s="194"/>
      <c r="AK5" s="194"/>
      <c r="AL5" s="194"/>
      <c r="AO5" s="194"/>
      <c r="AP5" s="194"/>
      <c r="AS5" s="194"/>
      <c r="AT5" s="194"/>
      <c r="AW5" s="197"/>
    </row>
    <row r="6" spans="1:52" ht="16.5" customHeight="1" thickBot="1">
      <c r="A6" s="196"/>
      <c r="B6" s="196"/>
      <c r="C6" s="582"/>
      <c r="D6" s="583"/>
      <c r="E6" s="583"/>
      <c r="F6" s="583"/>
      <c r="G6" s="583"/>
      <c r="H6" s="584"/>
      <c r="I6" s="570" t="s">
        <v>165</v>
      </c>
      <c r="J6" s="570"/>
      <c r="K6" s="570"/>
      <c r="L6" s="570"/>
      <c r="M6" s="570"/>
      <c r="N6" s="570"/>
      <c r="O6" s="570"/>
      <c r="P6" s="571"/>
      <c r="Q6" s="575" t="s">
        <v>166</v>
      </c>
      <c r="R6" s="570"/>
      <c r="S6" s="570"/>
      <c r="T6" s="570"/>
      <c r="U6" s="570"/>
      <c r="V6" s="570"/>
      <c r="W6" s="570"/>
      <c r="X6" s="571"/>
      <c r="Y6" s="582"/>
      <c r="Z6" s="583"/>
      <c r="AA6" s="583"/>
      <c r="AB6" s="583"/>
      <c r="AC6" s="583"/>
      <c r="AD6" s="583"/>
      <c r="AE6" s="583"/>
      <c r="AF6" s="584"/>
      <c r="AG6" s="566" t="s">
        <v>167</v>
      </c>
      <c r="AH6" s="567"/>
      <c r="AI6" s="567"/>
      <c r="AJ6" s="568"/>
      <c r="AK6" s="566" t="s">
        <v>168</v>
      </c>
      <c r="AL6" s="567"/>
      <c r="AM6" s="567"/>
      <c r="AN6" s="567"/>
      <c r="AO6" s="568"/>
      <c r="AP6" s="566" t="s">
        <v>169</v>
      </c>
      <c r="AQ6" s="567"/>
      <c r="AR6" s="567"/>
      <c r="AS6" s="567"/>
      <c r="AT6" s="567"/>
      <c r="AU6" s="567"/>
      <c r="AV6" s="568"/>
      <c r="AW6" s="197"/>
    </row>
    <row r="7" spans="1:52" ht="16.5" customHeight="1" thickBot="1">
      <c r="A7" s="560" t="s">
        <v>170</v>
      </c>
      <c r="B7" s="561"/>
      <c r="C7" s="198" t="s">
        <v>149</v>
      </c>
      <c r="D7" s="540"/>
      <c r="E7" s="542"/>
      <c r="F7" s="199" t="s">
        <v>150</v>
      </c>
      <c r="G7" s="540"/>
      <c r="H7" s="542"/>
      <c r="I7" s="200" t="s">
        <v>149</v>
      </c>
      <c r="J7" s="540"/>
      <c r="K7" s="541"/>
      <c r="L7" s="541"/>
      <c r="M7" s="201" t="s">
        <v>150</v>
      </c>
      <c r="N7" s="540"/>
      <c r="O7" s="541"/>
      <c r="P7" s="541"/>
      <c r="Q7" s="200" t="s">
        <v>149</v>
      </c>
      <c r="R7" s="540"/>
      <c r="S7" s="541"/>
      <c r="T7" s="541"/>
      <c r="U7" s="202" t="s">
        <v>150</v>
      </c>
      <c r="V7" s="540"/>
      <c r="W7" s="541"/>
      <c r="X7" s="541"/>
      <c r="Y7" s="308" t="s">
        <v>149</v>
      </c>
      <c r="Z7" s="540"/>
      <c r="AA7" s="541"/>
      <c r="AB7" s="542"/>
      <c r="AC7" s="309" t="s">
        <v>150</v>
      </c>
      <c r="AD7" s="540"/>
      <c r="AE7" s="541"/>
      <c r="AF7" s="585"/>
      <c r="AG7" s="203" t="s">
        <v>171</v>
      </c>
      <c r="AH7" s="522">
        <f t="shared" ref="AH7:AH12" si="0">IF(R7=0,(G7-D7)+(N7-J7)+(AD7-Z7),(G7-D7)+(N7-J7)+((V7-0)+(24-R7))+(AD7-Z7))</f>
        <v>0</v>
      </c>
      <c r="AI7" s="539"/>
      <c r="AJ7" s="523"/>
      <c r="AK7" s="537" t="s">
        <v>171</v>
      </c>
      <c r="AL7" s="538"/>
      <c r="AM7" s="522">
        <f t="shared" ref="AM7:AM12" si="1">IF(R7=0,(G7-D7)+(N7-J7)+(AD7-Z7),(G7-D7)+(N7-J7)+(((V7-0)+(24-R7))*45/100)+(AD7-Z7))</f>
        <v>0</v>
      </c>
      <c r="AN7" s="539"/>
      <c r="AO7" s="523"/>
      <c r="AP7" s="537" t="s">
        <v>171</v>
      </c>
      <c r="AQ7" s="538"/>
      <c r="AR7" s="550" t="str">
        <f t="shared" ref="AR7:AR12" si="2">IF(J7="","",IF(R7=0,(N7-21),(N7-21)+(((V7-0)+(24-R7))*45/100)))</f>
        <v/>
      </c>
      <c r="AS7" s="551"/>
      <c r="AT7" s="551"/>
      <c r="AU7" s="551"/>
      <c r="AV7" s="552"/>
      <c r="AW7" s="204"/>
      <c r="AY7" s="205" t="s">
        <v>76</v>
      </c>
      <c r="AZ7" s="189"/>
    </row>
    <row r="8" spans="1:52" ht="16.5" customHeight="1" thickBot="1">
      <c r="A8" s="556" t="s">
        <v>148</v>
      </c>
      <c r="B8" s="557"/>
      <c r="C8" s="206" t="s">
        <v>149</v>
      </c>
      <c r="D8" s="540"/>
      <c r="E8" s="542"/>
      <c r="F8" s="207" t="s">
        <v>150</v>
      </c>
      <c r="G8" s="540"/>
      <c r="H8" s="542"/>
      <c r="I8" s="208" t="s">
        <v>149</v>
      </c>
      <c r="J8" s="540"/>
      <c r="K8" s="541"/>
      <c r="L8" s="541"/>
      <c r="M8" s="209" t="s">
        <v>150</v>
      </c>
      <c r="N8" s="540"/>
      <c r="O8" s="541"/>
      <c r="P8" s="541"/>
      <c r="Q8" s="208" t="s">
        <v>149</v>
      </c>
      <c r="R8" s="540"/>
      <c r="S8" s="541"/>
      <c r="T8" s="541"/>
      <c r="U8" s="210" t="s">
        <v>150</v>
      </c>
      <c r="V8" s="540"/>
      <c r="W8" s="541"/>
      <c r="X8" s="541"/>
      <c r="Y8" s="311" t="s">
        <v>149</v>
      </c>
      <c r="Z8" s="540"/>
      <c r="AA8" s="541"/>
      <c r="AB8" s="542"/>
      <c r="AC8" s="310" t="s">
        <v>150</v>
      </c>
      <c r="AD8" s="540"/>
      <c r="AE8" s="541"/>
      <c r="AF8" s="585"/>
      <c r="AG8" s="203" t="s">
        <v>172</v>
      </c>
      <c r="AH8" s="522">
        <f t="shared" si="0"/>
        <v>0</v>
      </c>
      <c r="AI8" s="539"/>
      <c r="AJ8" s="523"/>
      <c r="AK8" s="537" t="s">
        <v>172</v>
      </c>
      <c r="AL8" s="538"/>
      <c r="AM8" s="522">
        <f t="shared" si="1"/>
        <v>0</v>
      </c>
      <c r="AN8" s="539"/>
      <c r="AO8" s="523"/>
      <c r="AP8" s="537" t="s">
        <v>172</v>
      </c>
      <c r="AQ8" s="538"/>
      <c r="AR8" s="550" t="str">
        <f t="shared" si="2"/>
        <v/>
      </c>
      <c r="AS8" s="551"/>
      <c r="AT8" s="551"/>
      <c r="AU8" s="551"/>
      <c r="AV8" s="552"/>
      <c r="AW8" s="204"/>
      <c r="AY8" s="211" t="s">
        <v>77</v>
      </c>
      <c r="AZ8" s="211" t="s">
        <v>78</v>
      </c>
    </row>
    <row r="9" spans="1:52" ht="17.100000000000001" customHeight="1" thickBot="1">
      <c r="A9" s="558" t="s">
        <v>151</v>
      </c>
      <c r="B9" s="559"/>
      <c r="C9" s="212" t="s">
        <v>149</v>
      </c>
      <c r="D9" s="540"/>
      <c r="E9" s="542"/>
      <c r="F9" s="213" t="s">
        <v>150</v>
      </c>
      <c r="G9" s="540"/>
      <c r="H9" s="542"/>
      <c r="I9" s="214" t="s">
        <v>149</v>
      </c>
      <c r="J9" s="540"/>
      <c r="K9" s="541"/>
      <c r="L9" s="541"/>
      <c r="M9" s="209" t="s">
        <v>150</v>
      </c>
      <c r="N9" s="540"/>
      <c r="O9" s="541"/>
      <c r="P9" s="541"/>
      <c r="Q9" s="214" t="s">
        <v>149</v>
      </c>
      <c r="R9" s="540"/>
      <c r="S9" s="541"/>
      <c r="T9" s="541"/>
      <c r="U9" s="215" t="s">
        <v>150</v>
      </c>
      <c r="V9" s="540"/>
      <c r="W9" s="541"/>
      <c r="X9" s="541"/>
      <c r="Y9" s="312" t="s">
        <v>149</v>
      </c>
      <c r="Z9" s="540"/>
      <c r="AA9" s="541"/>
      <c r="AB9" s="542"/>
      <c r="AC9" s="212" t="s">
        <v>150</v>
      </c>
      <c r="AD9" s="540"/>
      <c r="AE9" s="541"/>
      <c r="AF9" s="585"/>
      <c r="AG9" s="203" t="s">
        <v>173</v>
      </c>
      <c r="AH9" s="522">
        <f t="shared" si="0"/>
        <v>0</v>
      </c>
      <c r="AI9" s="539"/>
      <c r="AJ9" s="523"/>
      <c r="AK9" s="537" t="s">
        <v>173</v>
      </c>
      <c r="AL9" s="538"/>
      <c r="AM9" s="522">
        <f t="shared" si="1"/>
        <v>0</v>
      </c>
      <c r="AN9" s="539"/>
      <c r="AO9" s="523"/>
      <c r="AP9" s="537" t="s">
        <v>173</v>
      </c>
      <c r="AQ9" s="538"/>
      <c r="AR9" s="550" t="str">
        <f t="shared" si="2"/>
        <v/>
      </c>
      <c r="AS9" s="551"/>
      <c r="AT9" s="551"/>
      <c r="AU9" s="551"/>
      <c r="AV9" s="552"/>
      <c r="AW9" s="204"/>
      <c r="AY9" s="216">
        <v>30</v>
      </c>
      <c r="AZ9" s="217">
        <f>AY9/60*100</f>
        <v>50</v>
      </c>
    </row>
    <row r="10" spans="1:52" ht="17.100000000000001" customHeight="1" thickBot="1">
      <c r="A10" s="558" t="s">
        <v>152</v>
      </c>
      <c r="B10" s="559"/>
      <c r="C10" s="212" t="s">
        <v>149</v>
      </c>
      <c r="D10" s="540"/>
      <c r="E10" s="542"/>
      <c r="F10" s="213" t="s">
        <v>150</v>
      </c>
      <c r="G10" s="540"/>
      <c r="H10" s="542"/>
      <c r="I10" s="214" t="s">
        <v>149</v>
      </c>
      <c r="J10" s="540"/>
      <c r="K10" s="541"/>
      <c r="L10" s="541"/>
      <c r="M10" s="209" t="s">
        <v>150</v>
      </c>
      <c r="N10" s="540"/>
      <c r="O10" s="541"/>
      <c r="P10" s="541"/>
      <c r="Q10" s="214" t="s">
        <v>149</v>
      </c>
      <c r="R10" s="540"/>
      <c r="S10" s="541"/>
      <c r="T10" s="541"/>
      <c r="U10" s="215" t="s">
        <v>150</v>
      </c>
      <c r="V10" s="540"/>
      <c r="W10" s="541"/>
      <c r="X10" s="541"/>
      <c r="Y10" s="312" t="s">
        <v>149</v>
      </c>
      <c r="Z10" s="540"/>
      <c r="AA10" s="541"/>
      <c r="AB10" s="542"/>
      <c r="AC10" s="212" t="s">
        <v>150</v>
      </c>
      <c r="AD10" s="540"/>
      <c r="AE10" s="541"/>
      <c r="AF10" s="585"/>
      <c r="AG10" s="203" t="s">
        <v>173</v>
      </c>
      <c r="AH10" s="522">
        <f t="shared" si="0"/>
        <v>0</v>
      </c>
      <c r="AI10" s="539"/>
      <c r="AJ10" s="523"/>
      <c r="AK10" s="537" t="s">
        <v>173</v>
      </c>
      <c r="AL10" s="538"/>
      <c r="AM10" s="522">
        <f t="shared" si="1"/>
        <v>0</v>
      </c>
      <c r="AN10" s="539"/>
      <c r="AO10" s="523"/>
      <c r="AP10" s="537" t="s">
        <v>173</v>
      </c>
      <c r="AQ10" s="538"/>
      <c r="AR10" s="550" t="str">
        <f t="shared" si="2"/>
        <v/>
      </c>
      <c r="AS10" s="551"/>
      <c r="AT10" s="551"/>
      <c r="AU10" s="551"/>
      <c r="AV10" s="552"/>
      <c r="AW10" s="204"/>
    </row>
    <row r="11" spans="1:52" ht="17.100000000000001" customHeight="1" thickBot="1">
      <c r="A11" s="558" t="s">
        <v>153</v>
      </c>
      <c r="B11" s="559"/>
      <c r="C11" s="212" t="s">
        <v>149</v>
      </c>
      <c r="D11" s="540"/>
      <c r="E11" s="542"/>
      <c r="F11" s="213" t="s">
        <v>150</v>
      </c>
      <c r="G11" s="540"/>
      <c r="H11" s="542"/>
      <c r="I11" s="214" t="s">
        <v>149</v>
      </c>
      <c r="J11" s="540"/>
      <c r="K11" s="541"/>
      <c r="L11" s="541"/>
      <c r="M11" s="209" t="s">
        <v>150</v>
      </c>
      <c r="N11" s="540"/>
      <c r="O11" s="541"/>
      <c r="P11" s="541"/>
      <c r="Q11" s="214" t="s">
        <v>149</v>
      </c>
      <c r="R11" s="540"/>
      <c r="S11" s="541"/>
      <c r="T11" s="541"/>
      <c r="U11" s="215" t="s">
        <v>150</v>
      </c>
      <c r="V11" s="540"/>
      <c r="W11" s="541"/>
      <c r="X11" s="541"/>
      <c r="Y11" s="312" t="s">
        <v>149</v>
      </c>
      <c r="Z11" s="540"/>
      <c r="AA11" s="541"/>
      <c r="AB11" s="542"/>
      <c r="AC11" s="212" t="s">
        <v>150</v>
      </c>
      <c r="AD11" s="540"/>
      <c r="AE11" s="541"/>
      <c r="AF11" s="585"/>
      <c r="AG11" s="203" t="s">
        <v>174</v>
      </c>
      <c r="AH11" s="522">
        <f t="shared" si="0"/>
        <v>0</v>
      </c>
      <c r="AI11" s="539"/>
      <c r="AJ11" s="523"/>
      <c r="AK11" s="537" t="s">
        <v>174</v>
      </c>
      <c r="AL11" s="538"/>
      <c r="AM11" s="522">
        <f t="shared" si="1"/>
        <v>0</v>
      </c>
      <c r="AN11" s="539"/>
      <c r="AO11" s="523"/>
      <c r="AP11" s="537" t="s">
        <v>174</v>
      </c>
      <c r="AQ11" s="538"/>
      <c r="AR11" s="550" t="str">
        <f t="shared" si="2"/>
        <v/>
      </c>
      <c r="AS11" s="551"/>
      <c r="AT11" s="551"/>
      <c r="AU11" s="551"/>
      <c r="AV11" s="552"/>
      <c r="AW11" s="204"/>
    </row>
    <row r="12" spans="1:52" ht="17.25" thickBot="1">
      <c r="A12" s="562" t="s">
        <v>154</v>
      </c>
      <c r="B12" s="563"/>
      <c r="C12" s="218" t="s">
        <v>149</v>
      </c>
      <c r="D12" s="540"/>
      <c r="E12" s="542"/>
      <c r="F12" s="219" t="s">
        <v>150</v>
      </c>
      <c r="G12" s="540"/>
      <c r="H12" s="542"/>
      <c r="I12" s="220" t="s">
        <v>149</v>
      </c>
      <c r="J12" s="540"/>
      <c r="K12" s="541"/>
      <c r="L12" s="541"/>
      <c r="M12" s="221" t="s">
        <v>150</v>
      </c>
      <c r="N12" s="540"/>
      <c r="O12" s="541"/>
      <c r="P12" s="541"/>
      <c r="Q12" s="220" t="s">
        <v>149</v>
      </c>
      <c r="R12" s="540"/>
      <c r="S12" s="541"/>
      <c r="T12" s="541"/>
      <c r="U12" s="222" t="s">
        <v>150</v>
      </c>
      <c r="V12" s="540"/>
      <c r="W12" s="541"/>
      <c r="X12" s="541"/>
      <c r="Y12" s="313" t="s">
        <v>149</v>
      </c>
      <c r="Z12" s="540"/>
      <c r="AA12" s="541"/>
      <c r="AB12" s="542"/>
      <c r="AC12" s="218" t="s">
        <v>150</v>
      </c>
      <c r="AD12" s="540"/>
      <c r="AE12" s="541"/>
      <c r="AF12" s="585"/>
      <c r="AG12" s="203" t="s">
        <v>175</v>
      </c>
      <c r="AH12" s="522">
        <f t="shared" si="0"/>
        <v>0</v>
      </c>
      <c r="AI12" s="539"/>
      <c r="AJ12" s="523"/>
      <c r="AK12" s="537" t="s">
        <v>175</v>
      </c>
      <c r="AL12" s="538"/>
      <c r="AM12" s="522">
        <f t="shared" si="1"/>
        <v>0</v>
      </c>
      <c r="AN12" s="539"/>
      <c r="AO12" s="523"/>
      <c r="AP12" s="537" t="s">
        <v>175</v>
      </c>
      <c r="AQ12" s="538"/>
      <c r="AR12" s="550" t="str">
        <f t="shared" si="2"/>
        <v/>
      </c>
      <c r="AS12" s="551"/>
      <c r="AT12" s="551"/>
      <c r="AU12" s="551"/>
      <c r="AV12" s="552"/>
      <c r="AW12" s="204"/>
    </row>
    <row r="13" spans="1:52" ht="17.25" thickBot="1">
      <c r="A13" s="223"/>
      <c r="B13" s="192"/>
      <c r="C13" s="224"/>
      <c r="D13" s="224"/>
      <c r="E13" s="225"/>
      <c r="F13" s="192"/>
      <c r="G13" s="225"/>
      <c r="H13" s="225"/>
      <c r="I13" s="224"/>
      <c r="J13" s="226"/>
      <c r="K13" s="226"/>
      <c r="L13" s="226"/>
      <c r="M13" s="226"/>
      <c r="N13" s="226"/>
      <c r="O13" s="226"/>
      <c r="P13" s="226"/>
      <c r="Q13" s="224"/>
      <c r="R13" s="226"/>
      <c r="S13" s="226"/>
      <c r="T13" s="226"/>
      <c r="U13" s="226"/>
      <c r="V13" s="226"/>
      <c r="W13" s="226"/>
      <c r="X13" s="226"/>
      <c r="AB13" s="224"/>
      <c r="AC13" s="224"/>
      <c r="AD13" s="227"/>
      <c r="AE13" s="227"/>
      <c r="AF13" s="227"/>
      <c r="AG13" s="228" t="s">
        <v>147</v>
      </c>
      <c r="AH13" s="569">
        <f>SUM(AH7:AH12)</f>
        <v>0</v>
      </c>
      <c r="AI13" s="546"/>
      <c r="AJ13" s="547"/>
      <c r="AK13" s="535" t="s">
        <v>147</v>
      </c>
      <c r="AL13" s="536"/>
      <c r="AM13" s="546">
        <f>SUM(AM7:AM12)</f>
        <v>0</v>
      </c>
      <c r="AN13" s="546"/>
      <c r="AO13" s="547"/>
      <c r="AP13" s="548" t="s">
        <v>147</v>
      </c>
      <c r="AQ13" s="549"/>
      <c r="AR13" s="553">
        <f>SUM(AR7:AR12)</f>
        <v>0</v>
      </c>
      <c r="AS13" s="554"/>
      <c r="AT13" s="554"/>
      <c r="AU13" s="554"/>
      <c r="AV13" s="555"/>
      <c r="AW13" s="223"/>
    </row>
    <row r="14" spans="1:52" ht="9.75" customHeight="1" thickBot="1"/>
    <row r="15" spans="1:52" s="229" customFormat="1" ht="11.25" customHeight="1" thickBot="1">
      <c r="A15" s="532" t="s">
        <v>176</v>
      </c>
      <c r="B15" s="533"/>
      <c r="C15" s="543"/>
      <c r="D15" s="544"/>
      <c r="E15" s="532" t="s">
        <v>177</v>
      </c>
      <c r="F15" s="533"/>
      <c r="G15" s="543"/>
      <c r="H15" s="544"/>
      <c r="I15" s="532" t="s">
        <v>178</v>
      </c>
      <c r="J15" s="533"/>
      <c r="K15" s="543"/>
      <c r="L15" s="544"/>
      <c r="M15" s="532" t="s">
        <v>179</v>
      </c>
      <c r="N15" s="533"/>
      <c r="O15" s="543"/>
      <c r="P15" s="544"/>
      <c r="Q15" s="532" t="s">
        <v>180</v>
      </c>
      <c r="R15" s="533"/>
      <c r="S15" s="543"/>
      <c r="T15" s="544"/>
      <c r="U15" s="532" t="s">
        <v>181</v>
      </c>
      <c r="V15" s="533"/>
      <c r="W15" s="543"/>
      <c r="X15" s="544"/>
      <c r="Y15" s="532" t="s">
        <v>182</v>
      </c>
      <c r="Z15" s="533"/>
      <c r="AA15" s="543"/>
      <c r="AB15" s="544"/>
      <c r="AC15" s="532" t="s">
        <v>183</v>
      </c>
      <c r="AD15" s="533"/>
      <c r="AE15" s="533"/>
      <c r="AF15" s="534"/>
      <c r="AG15" s="532" t="s">
        <v>184</v>
      </c>
      <c r="AH15" s="533"/>
      <c r="AI15" s="543"/>
      <c r="AJ15" s="544"/>
      <c r="AK15" s="532" t="s">
        <v>185</v>
      </c>
      <c r="AL15" s="533"/>
      <c r="AM15" s="543"/>
      <c r="AN15" s="544"/>
      <c r="AO15" s="532" t="s">
        <v>186</v>
      </c>
      <c r="AP15" s="533"/>
      <c r="AQ15" s="543"/>
      <c r="AR15" s="544"/>
      <c r="AS15" s="532" t="s">
        <v>187</v>
      </c>
      <c r="AT15" s="533"/>
      <c r="AU15" s="533"/>
      <c r="AV15" s="534"/>
    </row>
    <row r="16" spans="1:52" s="189" customFormat="1" ht="10.7" customHeight="1" thickBot="1">
      <c r="A16" s="230" t="s">
        <v>148</v>
      </c>
      <c r="B16" s="231">
        <v>1</v>
      </c>
      <c r="C16" s="350">
        <f>IF(A16=0,0,$AM8)</f>
        <v>0</v>
      </c>
      <c r="D16" s="232"/>
      <c r="E16" s="233" t="s">
        <v>152</v>
      </c>
      <c r="F16" s="231">
        <v>1</v>
      </c>
      <c r="G16" s="350">
        <f>IF(E16=0,0,$AM10)</f>
        <v>0</v>
      </c>
      <c r="H16" s="232"/>
      <c r="I16" s="233" t="s">
        <v>155</v>
      </c>
      <c r="J16" s="234">
        <v>1</v>
      </c>
      <c r="K16" s="235" t="s">
        <v>188</v>
      </c>
      <c r="L16" s="236">
        <f>SUM(G42:G46,K16)</f>
        <v>0</v>
      </c>
      <c r="M16" s="233" t="s">
        <v>148</v>
      </c>
      <c r="N16" s="237">
        <v>1</v>
      </c>
      <c r="O16" s="350">
        <f>IF(M16=0,0,$AM8)</f>
        <v>0</v>
      </c>
      <c r="P16" s="232"/>
      <c r="Q16" s="233" t="s">
        <v>153</v>
      </c>
      <c r="R16" s="234">
        <v>1</v>
      </c>
      <c r="S16" s="235"/>
      <c r="T16" s="365" t="s">
        <v>189</v>
      </c>
      <c r="U16" s="233" t="s">
        <v>170</v>
      </c>
      <c r="V16" s="237">
        <v>1</v>
      </c>
      <c r="W16" s="350">
        <f t="shared" ref="W16:W21" si="3">IF(U16=0,0,$AM7)</f>
        <v>0</v>
      </c>
      <c r="X16" s="232"/>
      <c r="Y16" s="238" t="s">
        <v>170</v>
      </c>
      <c r="Z16" s="240">
        <v>1</v>
      </c>
      <c r="AA16" s="353">
        <f>+IF(Y16=0,0,$AM7)</f>
        <v>0</v>
      </c>
      <c r="AB16" s="239"/>
      <c r="AC16" s="233" t="s">
        <v>152</v>
      </c>
      <c r="AD16" s="231">
        <v>1</v>
      </c>
      <c r="AE16" s="350">
        <f>IF(AC16=0,0,$AM10)</f>
        <v>0</v>
      </c>
      <c r="AF16" s="232"/>
      <c r="AG16" s="233" t="s">
        <v>154</v>
      </c>
      <c r="AH16" s="231">
        <v>1</v>
      </c>
      <c r="AI16" s="235"/>
      <c r="AJ16" s="365" t="s">
        <v>235</v>
      </c>
      <c r="AK16" s="233" t="s">
        <v>148</v>
      </c>
      <c r="AL16" s="231">
        <v>1</v>
      </c>
      <c r="AM16" s="350">
        <f>IF(AK16=0,0,$AM8)</f>
        <v>0</v>
      </c>
      <c r="AN16" s="232"/>
      <c r="AO16" s="233" t="s">
        <v>152</v>
      </c>
      <c r="AP16" s="237">
        <v>1</v>
      </c>
      <c r="AQ16" s="350">
        <f>IF(AO16=0,0,$AM10)</f>
        <v>0</v>
      </c>
      <c r="AR16" s="232"/>
      <c r="AS16" s="238" t="s">
        <v>155</v>
      </c>
      <c r="AT16" s="245">
        <v>1</v>
      </c>
      <c r="AU16" s="351">
        <f>IF(AS16=0,0,' Horaires hors période scolaire'!$N10)</f>
        <v>0</v>
      </c>
      <c r="AV16" s="249">
        <f>SUM(AQ42:AQ46,AU16)</f>
        <v>0</v>
      </c>
      <c r="AY16" s="241"/>
    </row>
    <row r="17" spans="1:51" s="189" customFormat="1" ht="10.7" customHeight="1" thickBot="1">
      <c r="A17" s="242" t="s">
        <v>151</v>
      </c>
      <c r="B17" s="243">
        <v>2</v>
      </c>
      <c r="C17" s="351">
        <f>IF(A17=0,0,$AM9)</f>
        <v>0</v>
      </c>
      <c r="D17" s="244"/>
      <c r="E17" s="238" t="s">
        <v>153</v>
      </c>
      <c r="F17" s="243">
        <v>2</v>
      </c>
      <c r="G17" s="351">
        <f>IF(E17=0,0,$AM11)</f>
        <v>0</v>
      </c>
      <c r="H17" s="244"/>
      <c r="I17" s="238" t="s">
        <v>170</v>
      </c>
      <c r="J17" s="245">
        <v>2</v>
      </c>
      <c r="K17" s="354">
        <f>+IF(I17=0,0,$AM7)</f>
        <v>0</v>
      </c>
      <c r="L17" s="244"/>
      <c r="M17" s="238" t="s">
        <v>151</v>
      </c>
      <c r="N17" s="246">
        <v>2</v>
      </c>
      <c r="O17" s="351">
        <f>IF(M17=0,0,$AM9)</f>
        <v>0</v>
      </c>
      <c r="P17" s="244"/>
      <c r="Q17" s="238" t="s">
        <v>154</v>
      </c>
      <c r="R17" s="245">
        <v>2</v>
      </c>
      <c r="S17" s="351">
        <f>IF(Q17=0,0,' Horaires hors période scolaire'!$N9)</f>
        <v>0</v>
      </c>
      <c r="T17" s="244"/>
      <c r="U17" s="238" t="s">
        <v>148</v>
      </c>
      <c r="V17" s="246">
        <v>2</v>
      </c>
      <c r="W17" s="351">
        <f t="shared" si="3"/>
        <v>0</v>
      </c>
      <c r="X17" s="244"/>
      <c r="Y17" s="238" t="s">
        <v>148</v>
      </c>
      <c r="Z17" s="243">
        <v>2</v>
      </c>
      <c r="AA17" s="351">
        <f>IF(Y17=0,0,$AM8)</f>
        <v>0</v>
      </c>
      <c r="AB17" s="247"/>
      <c r="AC17" s="238" t="s">
        <v>153</v>
      </c>
      <c r="AD17" s="243">
        <v>2</v>
      </c>
      <c r="AE17" s="351">
        <f>IF(AC17=0,0,$AM11)</f>
        <v>0</v>
      </c>
      <c r="AF17" s="244"/>
      <c r="AG17" s="238" t="s">
        <v>155</v>
      </c>
      <c r="AH17" s="243">
        <v>2</v>
      </c>
      <c r="AI17" s="355"/>
      <c r="AJ17" s="249">
        <f>SUM(AE41:AE45,AI16)</f>
        <v>0</v>
      </c>
      <c r="AK17" s="238" t="s">
        <v>151</v>
      </c>
      <c r="AL17" s="243">
        <v>2</v>
      </c>
      <c r="AM17" s="351">
        <f>IF(AK17=0,0,$AM9)</f>
        <v>0</v>
      </c>
      <c r="AN17" s="244"/>
      <c r="AO17" s="238" t="s">
        <v>153</v>
      </c>
      <c r="AP17" s="243">
        <v>2</v>
      </c>
      <c r="AQ17" s="351">
        <f>IF(AO17=0,0,$AM11)</f>
        <v>0</v>
      </c>
      <c r="AR17" s="244"/>
      <c r="AS17" s="238" t="s">
        <v>170</v>
      </c>
      <c r="AT17" s="245">
        <v>2</v>
      </c>
      <c r="AU17" s="359"/>
      <c r="AV17" s="232"/>
      <c r="AY17" s="241"/>
    </row>
    <row r="18" spans="1:51" s="189" customFormat="1" ht="10.7" customHeight="1" thickBot="1">
      <c r="A18" s="242" t="s">
        <v>152</v>
      </c>
      <c r="B18" s="243">
        <v>3</v>
      </c>
      <c r="C18" s="351">
        <f>IF(A18=0,0,$AM10)</f>
        <v>0</v>
      </c>
      <c r="D18" s="244"/>
      <c r="E18" s="238" t="s">
        <v>154</v>
      </c>
      <c r="F18" s="243">
        <v>3</v>
      </c>
      <c r="G18" s="351">
        <f>IF(E18=0,0,$AM12)</f>
        <v>0</v>
      </c>
      <c r="H18" s="244"/>
      <c r="I18" s="238" t="s">
        <v>148</v>
      </c>
      <c r="J18" s="243">
        <v>3</v>
      </c>
      <c r="K18" s="354">
        <f>IF(I18=0,0,$AM8)</f>
        <v>0</v>
      </c>
      <c r="L18" s="244"/>
      <c r="M18" s="238" t="s">
        <v>152</v>
      </c>
      <c r="N18" s="246">
        <v>3</v>
      </c>
      <c r="O18" s="351">
        <f>IF(M18=0,0,$AM10)</f>
        <v>0</v>
      </c>
      <c r="P18" s="244"/>
      <c r="Q18" s="238" t="s">
        <v>155</v>
      </c>
      <c r="R18" s="245">
        <v>3</v>
      </c>
      <c r="S18" s="351">
        <f>IF(Q18=0,0,' Horaires hors période scolaire'!$N10)</f>
        <v>0</v>
      </c>
      <c r="T18" s="249">
        <f>SUM(O44:O46,S16:S18)</f>
        <v>0</v>
      </c>
      <c r="U18" s="238" t="s">
        <v>151</v>
      </c>
      <c r="V18" s="246">
        <v>3</v>
      </c>
      <c r="W18" s="351">
        <f t="shared" si="3"/>
        <v>0</v>
      </c>
      <c r="X18" s="244"/>
      <c r="Y18" s="238" t="s">
        <v>151</v>
      </c>
      <c r="Z18" s="243">
        <v>3</v>
      </c>
      <c r="AA18" s="351">
        <f>IF(Y18=0,0,$AM9)</f>
        <v>0</v>
      </c>
      <c r="AB18" s="247"/>
      <c r="AC18" s="238" t="s">
        <v>154</v>
      </c>
      <c r="AD18" s="243">
        <v>3</v>
      </c>
      <c r="AE18" s="351">
        <f>IF(AC18=0,0,$AM12)</f>
        <v>0</v>
      </c>
      <c r="AF18" s="244"/>
      <c r="AG18" s="238" t="s">
        <v>170</v>
      </c>
      <c r="AH18" s="243">
        <v>3</v>
      </c>
      <c r="AI18" s="350">
        <f>IF(AG18=0,0,$AM7)</f>
        <v>0</v>
      </c>
      <c r="AJ18" s="232"/>
      <c r="AK18" s="238" t="s">
        <v>152</v>
      </c>
      <c r="AL18" s="246">
        <v>3</v>
      </c>
      <c r="AM18" s="351">
        <f>IF(AK18=0,0,$AM10)</f>
        <v>0</v>
      </c>
      <c r="AN18" s="244"/>
      <c r="AO18" s="238" t="s">
        <v>154</v>
      </c>
      <c r="AP18" s="243">
        <v>3</v>
      </c>
      <c r="AQ18" s="351">
        <f>IF(AO18=0,0,$AM12)</f>
        <v>0</v>
      </c>
      <c r="AR18" s="244"/>
      <c r="AS18" s="238" t="s">
        <v>148</v>
      </c>
      <c r="AT18" s="245">
        <v>3</v>
      </c>
      <c r="AU18" s="351">
        <f>IF(AS18=0,0,' Horaires hors période scolaire'!$N5)</f>
        <v>0</v>
      </c>
      <c r="AV18" s="244"/>
      <c r="AY18" s="241"/>
    </row>
    <row r="19" spans="1:51" s="189" customFormat="1" ht="10.7" customHeight="1" thickBot="1">
      <c r="A19" s="242" t="s">
        <v>153</v>
      </c>
      <c r="B19" s="243">
        <v>4</v>
      </c>
      <c r="C19" s="351">
        <f>IF(A19=0,0,$AM11)</f>
        <v>0</v>
      </c>
      <c r="D19" s="244"/>
      <c r="E19" s="238" t="s">
        <v>155</v>
      </c>
      <c r="F19" s="243">
        <v>4</v>
      </c>
      <c r="G19" s="356"/>
      <c r="H19" s="249">
        <f>SUM(C43:C45,G16:G18)</f>
        <v>0</v>
      </c>
      <c r="I19" s="238" t="s">
        <v>151</v>
      </c>
      <c r="J19" s="243">
        <v>4</v>
      </c>
      <c r="K19" s="354">
        <f>IF(I19=0,0,$AM9)</f>
        <v>0</v>
      </c>
      <c r="L19" s="244"/>
      <c r="M19" s="238" t="s">
        <v>153</v>
      </c>
      <c r="N19" s="246">
        <v>4</v>
      </c>
      <c r="O19" s="351">
        <f>IF(M19=0,0,$AM11)</f>
        <v>0</v>
      </c>
      <c r="P19" s="244"/>
      <c r="Q19" s="238" t="s">
        <v>170</v>
      </c>
      <c r="R19" s="245">
        <v>4</v>
      </c>
      <c r="S19" s="353">
        <f t="shared" ref="S19:S24" si="4">IF(Q19=0,0,$AM7)</f>
        <v>0</v>
      </c>
      <c r="T19" s="232"/>
      <c r="U19" s="238" t="s">
        <v>152</v>
      </c>
      <c r="V19" s="246">
        <v>4</v>
      </c>
      <c r="W19" s="351">
        <f t="shared" si="3"/>
        <v>0</v>
      </c>
      <c r="X19" s="244"/>
      <c r="Y19" s="238" t="s">
        <v>152</v>
      </c>
      <c r="Z19" s="243">
        <v>4</v>
      </c>
      <c r="AA19" s="351">
        <f>IF(Y19=0,0,$AM10)</f>
        <v>0</v>
      </c>
      <c r="AB19" s="247"/>
      <c r="AC19" s="238" t="s">
        <v>155</v>
      </c>
      <c r="AD19" s="243">
        <v>4</v>
      </c>
      <c r="AE19" s="355"/>
      <c r="AF19" s="249">
        <f>SUM(AA44:AA46,AE16:AE18)</f>
        <v>0</v>
      </c>
      <c r="AG19" s="238" t="s">
        <v>148</v>
      </c>
      <c r="AH19" s="243">
        <v>4</v>
      </c>
      <c r="AI19" s="351">
        <f>IF(AG19=0,0,$AM8)</f>
        <v>0</v>
      </c>
      <c r="AJ19" s="244"/>
      <c r="AK19" s="238" t="s">
        <v>153</v>
      </c>
      <c r="AL19" s="246">
        <v>4</v>
      </c>
      <c r="AM19" s="351">
        <f>IF(AK19=0,0,$AM11)</f>
        <v>0</v>
      </c>
      <c r="AN19" s="244"/>
      <c r="AO19" s="238" t="s">
        <v>155</v>
      </c>
      <c r="AP19" s="245">
        <v>4</v>
      </c>
      <c r="AQ19" s="355"/>
      <c r="AR19" s="249">
        <f>SUM(AM43:AM45,AQ16:AQ18)</f>
        <v>0</v>
      </c>
      <c r="AS19" s="238" t="s">
        <v>151</v>
      </c>
      <c r="AT19" s="245">
        <v>4</v>
      </c>
      <c r="AU19" s="351">
        <f>IF(AS19=0,0,' Horaires hors période scolaire'!$N6)</f>
        <v>0</v>
      </c>
      <c r="AV19" s="244"/>
      <c r="AY19" s="241"/>
    </row>
    <row r="20" spans="1:51" s="189" customFormat="1" ht="10.7" customHeight="1">
      <c r="A20" s="242" t="s">
        <v>154</v>
      </c>
      <c r="B20" s="243">
        <v>5</v>
      </c>
      <c r="C20" s="351">
        <f>IF(A20=0,0,$AM12)</f>
        <v>0</v>
      </c>
      <c r="D20" s="244"/>
      <c r="E20" s="238" t="s">
        <v>170</v>
      </c>
      <c r="F20" s="243">
        <v>5</v>
      </c>
      <c r="G20" s="350">
        <f t="shared" ref="G20:G25" si="5">IF(E20=0,0,$AM7)</f>
        <v>0</v>
      </c>
      <c r="H20" s="232"/>
      <c r="I20" s="238" t="s">
        <v>152</v>
      </c>
      <c r="J20" s="243">
        <v>5</v>
      </c>
      <c r="K20" s="354">
        <f>IF(I20=0,0,$AM10)</f>
        <v>0</v>
      </c>
      <c r="L20" s="244"/>
      <c r="M20" s="238" t="s">
        <v>154</v>
      </c>
      <c r="N20" s="246">
        <v>5</v>
      </c>
      <c r="O20" s="351">
        <f>IF(M20=0,0,$AM12)</f>
        <v>0</v>
      </c>
      <c r="P20" s="244"/>
      <c r="Q20" s="238" t="s">
        <v>148</v>
      </c>
      <c r="R20" s="243">
        <v>5</v>
      </c>
      <c r="S20" s="354">
        <f t="shared" si="4"/>
        <v>0</v>
      </c>
      <c r="T20" s="244"/>
      <c r="U20" s="238" t="s">
        <v>153</v>
      </c>
      <c r="V20" s="246">
        <v>5</v>
      </c>
      <c r="W20" s="351">
        <f t="shared" si="3"/>
        <v>0</v>
      </c>
      <c r="X20" s="244"/>
      <c r="Y20" s="238" t="s">
        <v>153</v>
      </c>
      <c r="Z20" s="243">
        <v>5</v>
      </c>
      <c r="AA20" s="351">
        <f>IF(Y20=0,0,$AM11)</f>
        <v>0</v>
      </c>
      <c r="AB20" s="247"/>
      <c r="AC20" s="238" t="s">
        <v>170</v>
      </c>
      <c r="AD20" s="243">
        <v>5</v>
      </c>
      <c r="AE20" s="353"/>
      <c r="AF20" s="232"/>
      <c r="AG20" s="238" t="s">
        <v>151</v>
      </c>
      <c r="AH20" s="243">
        <v>5</v>
      </c>
      <c r="AI20" s="351">
        <f>IF(AG20=0,0,$AM9)</f>
        <v>0</v>
      </c>
      <c r="AJ20" s="244"/>
      <c r="AK20" s="238" t="s">
        <v>154</v>
      </c>
      <c r="AL20" s="243">
        <v>5</v>
      </c>
      <c r="AM20" s="351">
        <f>IF(AK20=0,0,$AM12)</f>
        <v>0</v>
      </c>
      <c r="AN20" s="244"/>
      <c r="AO20" s="238" t="s">
        <v>170</v>
      </c>
      <c r="AP20" s="245">
        <v>5</v>
      </c>
      <c r="AQ20" s="351"/>
      <c r="AR20" s="232"/>
      <c r="AS20" s="238" t="s">
        <v>152</v>
      </c>
      <c r="AT20" s="245">
        <v>5</v>
      </c>
      <c r="AU20" s="351">
        <f>IF(AS20=0,0,' Horaires hors période scolaire'!$N7)</f>
        <v>0</v>
      </c>
      <c r="AV20" s="244"/>
      <c r="AY20" s="241"/>
    </row>
    <row r="21" spans="1:51" s="189" customFormat="1" ht="10.7" customHeight="1" thickBot="1">
      <c r="A21" s="242" t="s">
        <v>155</v>
      </c>
      <c r="B21" s="243">
        <v>6</v>
      </c>
      <c r="C21" s="352"/>
      <c r="D21" s="252">
        <f>SUM(C16:C20)</f>
        <v>0</v>
      </c>
      <c r="E21" s="238" t="s">
        <v>148</v>
      </c>
      <c r="F21" s="243">
        <v>6</v>
      </c>
      <c r="G21" s="351">
        <f t="shared" si="5"/>
        <v>0</v>
      </c>
      <c r="H21" s="244"/>
      <c r="I21" s="238" t="s">
        <v>153</v>
      </c>
      <c r="J21" s="243">
        <v>6</v>
      </c>
      <c r="K21" s="354">
        <f>IF(I21=0,0,$AM11)</f>
        <v>0</v>
      </c>
      <c r="L21" s="244"/>
      <c r="M21" s="238" t="s">
        <v>155</v>
      </c>
      <c r="N21" s="246">
        <v>6</v>
      </c>
      <c r="O21" s="314"/>
      <c r="P21" s="249">
        <f>SUM(K45,O16:O20)</f>
        <v>0</v>
      </c>
      <c r="Q21" s="238" t="s">
        <v>151</v>
      </c>
      <c r="R21" s="243">
        <v>6</v>
      </c>
      <c r="S21" s="354">
        <f t="shared" si="4"/>
        <v>0</v>
      </c>
      <c r="T21" s="244"/>
      <c r="U21" s="238" t="s">
        <v>154</v>
      </c>
      <c r="V21" s="243">
        <v>6</v>
      </c>
      <c r="W21" s="351">
        <f t="shared" si="3"/>
        <v>0</v>
      </c>
      <c r="X21" s="244"/>
      <c r="Y21" s="238" t="s">
        <v>154</v>
      </c>
      <c r="Z21" s="243">
        <v>6</v>
      </c>
      <c r="AA21" s="351">
        <f>IF(Y21=0,0,$AM12)</f>
        <v>0</v>
      </c>
      <c r="AB21" s="247"/>
      <c r="AC21" s="238" t="s">
        <v>148</v>
      </c>
      <c r="AD21" s="253">
        <v>6</v>
      </c>
      <c r="AE21" s="363">
        <f>IF(AC21=0,0,$AM8)</f>
        <v>0</v>
      </c>
      <c r="AF21" s="364" t="s">
        <v>191</v>
      </c>
      <c r="AG21" s="238" t="s">
        <v>152</v>
      </c>
      <c r="AH21" s="243">
        <v>6</v>
      </c>
      <c r="AI21" s="351">
        <f>IF(AG21=0,0,$AM10)</f>
        <v>0</v>
      </c>
      <c r="AJ21" s="244"/>
      <c r="AK21" s="238" t="s">
        <v>155</v>
      </c>
      <c r="AL21" s="243">
        <v>6</v>
      </c>
      <c r="AM21" s="355"/>
      <c r="AN21" s="249">
        <f>SUM(AI46,AM16:AM20)</f>
        <v>0</v>
      </c>
      <c r="AO21" s="238" t="s">
        <v>148</v>
      </c>
      <c r="AP21" s="245">
        <v>6</v>
      </c>
      <c r="AQ21" s="351">
        <f>IF(AO21=0,0,' Horaires hors période scolaire'!$N5)</f>
        <v>0</v>
      </c>
      <c r="AR21" s="244"/>
      <c r="AS21" s="238" t="s">
        <v>153</v>
      </c>
      <c r="AT21" s="245">
        <v>6</v>
      </c>
      <c r="AU21" s="351">
        <f>IF(AS21=0,0,' Horaires hors période scolaire'!$N8)</f>
        <v>0</v>
      </c>
      <c r="AV21" s="244"/>
    </row>
    <row r="22" spans="1:51" s="189" customFormat="1" ht="10.7" customHeight="1" thickBot="1">
      <c r="A22" s="242" t="s">
        <v>170</v>
      </c>
      <c r="B22" s="243">
        <v>7</v>
      </c>
      <c r="C22" s="353">
        <f t="shared" ref="C22:C27" si="6">IF(A22=0,0,$AM7)</f>
        <v>0</v>
      </c>
      <c r="D22" s="232"/>
      <c r="E22" s="238" t="s">
        <v>151</v>
      </c>
      <c r="F22" s="243">
        <v>7</v>
      </c>
      <c r="G22" s="351">
        <f t="shared" si="5"/>
        <v>0</v>
      </c>
      <c r="H22" s="244"/>
      <c r="I22" s="238" t="s">
        <v>154</v>
      </c>
      <c r="J22" s="243">
        <v>7</v>
      </c>
      <c r="K22" s="354">
        <f>IF(I22=0,0,$AM12)</f>
        <v>0</v>
      </c>
      <c r="L22" s="244"/>
      <c r="M22" s="238" t="s">
        <v>170</v>
      </c>
      <c r="N22" s="246">
        <v>7</v>
      </c>
      <c r="O22" s="350">
        <f t="shared" ref="O22:O27" si="7">IF(M22=0,0,$AM7)</f>
        <v>0</v>
      </c>
      <c r="P22" s="232"/>
      <c r="Q22" s="238" t="s">
        <v>152</v>
      </c>
      <c r="R22" s="243">
        <v>7</v>
      </c>
      <c r="S22" s="354">
        <f t="shared" si="4"/>
        <v>0</v>
      </c>
      <c r="T22" s="244"/>
      <c r="U22" s="238" t="s">
        <v>155</v>
      </c>
      <c r="V22" s="243">
        <v>7</v>
      </c>
      <c r="W22" s="355"/>
      <c r="X22" s="249">
        <f>SUM(W16:W21)</f>
        <v>0</v>
      </c>
      <c r="Y22" s="238" t="s">
        <v>155</v>
      </c>
      <c r="Z22" s="243">
        <v>7</v>
      </c>
      <c r="AA22" s="355"/>
      <c r="AB22" s="249">
        <f>SUM(AA16:AA21)</f>
        <v>0</v>
      </c>
      <c r="AC22" s="238" t="s">
        <v>151</v>
      </c>
      <c r="AD22" s="243">
        <v>7</v>
      </c>
      <c r="AE22" s="354">
        <f>IF(AC22=0,0,$AM9)</f>
        <v>0</v>
      </c>
      <c r="AF22" s="244"/>
      <c r="AG22" s="238" t="s">
        <v>153</v>
      </c>
      <c r="AH22" s="243">
        <v>7</v>
      </c>
      <c r="AI22" s="351">
        <f>IF(AG22=0,0,$AM11)</f>
        <v>0</v>
      </c>
      <c r="AJ22" s="244"/>
      <c r="AK22" s="238" t="s">
        <v>170</v>
      </c>
      <c r="AL22" s="246">
        <v>7</v>
      </c>
      <c r="AM22" s="350">
        <f t="shared" ref="AM22:AM27" si="8">IF(AK22=0,0,$AM7)</f>
        <v>0</v>
      </c>
      <c r="AN22" s="232"/>
      <c r="AO22" s="238" t="s">
        <v>151</v>
      </c>
      <c r="AP22" s="245">
        <v>7</v>
      </c>
      <c r="AQ22" s="351">
        <f>IF(AO22=0,0,' Horaires hors période scolaire'!$N6)</f>
        <v>0</v>
      </c>
      <c r="AR22" s="244"/>
      <c r="AS22" s="238" t="s">
        <v>154</v>
      </c>
      <c r="AT22" s="245">
        <v>7</v>
      </c>
      <c r="AU22" s="351">
        <f>IF(AS22=0,0,' Horaires hors période scolaire'!$N9)</f>
        <v>0</v>
      </c>
      <c r="AV22" s="244"/>
    </row>
    <row r="23" spans="1:51" s="189" customFormat="1" ht="10.7" customHeight="1" thickBot="1">
      <c r="A23" s="242" t="s">
        <v>148</v>
      </c>
      <c r="B23" s="243">
        <v>8</v>
      </c>
      <c r="C23" s="354">
        <f t="shared" si="6"/>
        <v>0</v>
      </c>
      <c r="D23" s="244"/>
      <c r="E23" s="238" t="s">
        <v>152</v>
      </c>
      <c r="F23" s="243">
        <v>8</v>
      </c>
      <c r="G23" s="351">
        <f t="shared" si="5"/>
        <v>0</v>
      </c>
      <c r="H23" s="244"/>
      <c r="I23" s="238" t="s">
        <v>155</v>
      </c>
      <c r="J23" s="243">
        <v>8</v>
      </c>
      <c r="K23" s="355"/>
      <c r="L23" s="249">
        <f>SUM(K17:K22)</f>
        <v>0</v>
      </c>
      <c r="M23" s="238" t="s">
        <v>148</v>
      </c>
      <c r="N23" s="246">
        <v>8</v>
      </c>
      <c r="O23" s="351">
        <f t="shared" si="7"/>
        <v>0</v>
      </c>
      <c r="P23" s="244"/>
      <c r="Q23" s="238" t="s">
        <v>153</v>
      </c>
      <c r="R23" s="246">
        <v>8</v>
      </c>
      <c r="S23" s="354">
        <f t="shared" si="4"/>
        <v>0</v>
      </c>
      <c r="T23" s="244"/>
      <c r="U23" s="238" t="s">
        <v>170</v>
      </c>
      <c r="V23" s="243">
        <v>8</v>
      </c>
      <c r="W23" s="350">
        <f t="shared" ref="W23:W28" si="9">IF(U23=0,0,$AM7)</f>
        <v>0</v>
      </c>
      <c r="X23" s="232"/>
      <c r="Y23" s="238" t="s">
        <v>170</v>
      </c>
      <c r="Z23" s="243">
        <v>8</v>
      </c>
      <c r="AA23" s="350">
        <f t="shared" ref="AA23:AA28" si="10">IF(Y23=0,0,$AM7)</f>
        <v>0</v>
      </c>
      <c r="AB23" s="239"/>
      <c r="AC23" s="238" t="s">
        <v>152</v>
      </c>
      <c r="AD23" s="243">
        <v>8</v>
      </c>
      <c r="AE23" s="351">
        <f>IF(AC23=0,0,$AM10)</f>
        <v>0</v>
      </c>
      <c r="AF23" s="244"/>
      <c r="AG23" s="238" t="s">
        <v>154</v>
      </c>
      <c r="AH23" s="255">
        <v>8</v>
      </c>
      <c r="AI23" s="254"/>
      <c r="AJ23" s="364" t="s">
        <v>192</v>
      </c>
      <c r="AK23" s="238" t="s">
        <v>148</v>
      </c>
      <c r="AL23" s="246">
        <v>8</v>
      </c>
      <c r="AM23" s="351">
        <f t="shared" si="8"/>
        <v>0</v>
      </c>
      <c r="AN23" s="244"/>
      <c r="AO23" s="238" t="s">
        <v>152</v>
      </c>
      <c r="AP23" s="245">
        <v>8</v>
      </c>
      <c r="AQ23" s="351">
        <f>IF(AO23=0,0,' Horaires hors période scolaire'!$N7)</f>
        <v>0</v>
      </c>
      <c r="AR23" s="244"/>
      <c r="AS23" s="238" t="s">
        <v>155</v>
      </c>
      <c r="AT23" s="245">
        <v>8</v>
      </c>
      <c r="AU23" s="351">
        <f>IF(AS23=0,0,' Horaires hors période scolaire'!$N10)</f>
        <v>0</v>
      </c>
      <c r="AV23" s="249">
        <f>SUM(AU18:AU23)</f>
        <v>0</v>
      </c>
    </row>
    <row r="24" spans="1:51" s="189" customFormat="1" ht="10.7" customHeight="1" thickBot="1">
      <c r="A24" s="242" t="s">
        <v>151</v>
      </c>
      <c r="B24" s="243">
        <v>9</v>
      </c>
      <c r="C24" s="354">
        <f t="shared" si="6"/>
        <v>0</v>
      </c>
      <c r="D24" s="244"/>
      <c r="E24" s="238" t="s">
        <v>153</v>
      </c>
      <c r="F24" s="243">
        <v>9</v>
      </c>
      <c r="G24" s="351">
        <f t="shared" si="5"/>
        <v>0</v>
      </c>
      <c r="H24" s="244"/>
      <c r="I24" s="238" t="s">
        <v>170</v>
      </c>
      <c r="J24" s="243">
        <v>9</v>
      </c>
      <c r="K24" s="353">
        <f t="shared" ref="K24:K29" si="11">IF(I24=0,0,$AM7)</f>
        <v>0</v>
      </c>
      <c r="L24" s="232"/>
      <c r="M24" s="238" t="s">
        <v>151</v>
      </c>
      <c r="N24" s="246">
        <v>9</v>
      </c>
      <c r="O24" s="351">
        <f t="shared" si="7"/>
        <v>0</v>
      </c>
      <c r="P24" s="244"/>
      <c r="Q24" s="238" t="s">
        <v>154</v>
      </c>
      <c r="R24" s="246">
        <v>9</v>
      </c>
      <c r="S24" s="354">
        <f t="shared" si="4"/>
        <v>0</v>
      </c>
      <c r="T24" s="244"/>
      <c r="U24" s="238" t="s">
        <v>148</v>
      </c>
      <c r="V24" s="243">
        <v>9</v>
      </c>
      <c r="W24" s="351">
        <f t="shared" si="9"/>
        <v>0</v>
      </c>
      <c r="X24" s="244"/>
      <c r="Y24" s="238" t="s">
        <v>148</v>
      </c>
      <c r="Z24" s="243">
        <v>9</v>
      </c>
      <c r="AA24" s="351">
        <f t="shared" si="10"/>
        <v>0</v>
      </c>
      <c r="AB24" s="247"/>
      <c r="AC24" s="238" t="s">
        <v>153</v>
      </c>
      <c r="AD24" s="243">
        <v>9</v>
      </c>
      <c r="AE24" s="351">
        <f>IF(AC24=0,0,$AM11)</f>
        <v>0</v>
      </c>
      <c r="AF24" s="244"/>
      <c r="AG24" s="238" t="s">
        <v>155</v>
      </c>
      <c r="AH24" s="243">
        <v>9</v>
      </c>
      <c r="AI24" s="355"/>
      <c r="AJ24" s="249">
        <f>SUM(AI18:AI23)</f>
        <v>0</v>
      </c>
      <c r="AK24" s="238" t="s">
        <v>151</v>
      </c>
      <c r="AL24" s="243">
        <v>9</v>
      </c>
      <c r="AM24" s="351">
        <f t="shared" si="8"/>
        <v>0</v>
      </c>
      <c r="AN24" s="244"/>
      <c r="AO24" s="238" t="s">
        <v>153</v>
      </c>
      <c r="AP24" s="245">
        <v>9</v>
      </c>
      <c r="AQ24" s="351">
        <f>IF(AO24=0,0,' Horaires hors période scolaire'!$N8)</f>
        <v>0</v>
      </c>
      <c r="AR24" s="244"/>
      <c r="AS24" s="238" t="s">
        <v>170</v>
      </c>
      <c r="AT24" s="245">
        <v>9</v>
      </c>
      <c r="AU24" s="359"/>
      <c r="AV24" s="232"/>
    </row>
    <row r="25" spans="1:51" s="189" customFormat="1" ht="10.7" customHeight="1" thickBot="1">
      <c r="A25" s="242" t="s">
        <v>152</v>
      </c>
      <c r="B25" s="243">
        <v>10</v>
      </c>
      <c r="C25" s="354">
        <f t="shared" si="6"/>
        <v>0</v>
      </c>
      <c r="D25" s="244"/>
      <c r="E25" s="238" t="s">
        <v>154</v>
      </c>
      <c r="F25" s="243">
        <v>10</v>
      </c>
      <c r="G25" s="351">
        <f t="shared" si="5"/>
        <v>0</v>
      </c>
      <c r="H25" s="244"/>
      <c r="I25" s="238" t="s">
        <v>148</v>
      </c>
      <c r="J25" s="243">
        <v>10</v>
      </c>
      <c r="K25" s="351">
        <f t="shared" si="11"/>
        <v>0</v>
      </c>
      <c r="L25" s="244"/>
      <c r="M25" s="238" t="s">
        <v>152</v>
      </c>
      <c r="N25" s="246">
        <v>10</v>
      </c>
      <c r="O25" s="351">
        <f t="shared" si="7"/>
        <v>0</v>
      </c>
      <c r="P25" s="244"/>
      <c r="Q25" s="238" t="s">
        <v>155</v>
      </c>
      <c r="R25" s="246">
        <v>10</v>
      </c>
      <c r="S25" s="355"/>
      <c r="T25" s="249">
        <f>SUM(S19:S24)</f>
        <v>0</v>
      </c>
      <c r="U25" s="238" t="s">
        <v>151</v>
      </c>
      <c r="V25" s="243">
        <v>10</v>
      </c>
      <c r="W25" s="351">
        <f t="shared" si="9"/>
        <v>0</v>
      </c>
      <c r="X25" s="244"/>
      <c r="Y25" s="238" t="s">
        <v>151</v>
      </c>
      <c r="Z25" s="243">
        <v>10</v>
      </c>
      <c r="AA25" s="351">
        <f t="shared" si="10"/>
        <v>0</v>
      </c>
      <c r="AB25" s="247"/>
      <c r="AC25" s="238" t="s">
        <v>154</v>
      </c>
      <c r="AD25" s="243">
        <v>10</v>
      </c>
      <c r="AE25" s="351">
        <f>IF(AC25=0,0,$AM12)</f>
        <v>0</v>
      </c>
      <c r="AF25" s="244"/>
      <c r="AG25" s="238" t="s">
        <v>170</v>
      </c>
      <c r="AH25" s="243">
        <v>10</v>
      </c>
      <c r="AI25" s="353">
        <f>IF(AG25=0,0,$AM7)</f>
        <v>0</v>
      </c>
      <c r="AJ25" s="232"/>
      <c r="AK25" s="238" t="s">
        <v>152</v>
      </c>
      <c r="AL25" s="246">
        <v>10</v>
      </c>
      <c r="AM25" s="351">
        <f t="shared" si="8"/>
        <v>0</v>
      </c>
      <c r="AN25" s="244"/>
      <c r="AO25" s="238" t="s">
        <v>154</v>
      </c>
      <c r="AP25" s="245">
        <v>10</v>
      </c>
      <c r="AQ25" s="351">
        <f>IF(AO25=0,0,' Horaires hors période scolaire'!$N9)</f>
        <v>0</v>
      </c>
      <c r="AR25" s="244"/>
      <c r="AS25" s="238" t="s">
        <v>148</v>
      </c>
      <c r="AT25" s="245">
        <v>10</v>
      </c>
      <c r="AU25" s="351">
        <f>IF(AS25=0,0,' Horaires hors période scolaire'!$N5)</f>
        <v>0</v>
      </c>
      <c r="AV25" s="244"/>
    </row>
    <row r="26" spans="1:51" s="189" customFormat="1" ht="10.7" customHeight="1" thickBot="1">
      <c r="A26" s="242" t="s">
        <v>153</v>
      </c>
      <c r="B26" s="243">
        <v>11</v>
      </c>
      <c r="C26" s="354">
        <f t="shared" si="6"/>
        <v>0</v>
      </c>
      <c r="D26" s="244"/>
      <c r="E26" s="238" t="s">
        <v>155</v>
      </c>
      <c r="F26" s="243">
        <v>11</v>
      </c>
      <c r="G26" s="357"/>
      <c r="H26" s="252">
        <f>SUM(G20:G25)</f>
        <v>0</v>
      </c>
      <c r="I26" s="238" t="s">
        <v>151</v>
      </c>
      <c r="J26" s="253">
        <v>11</v>
      </c>
      <c r="K26" s="363">
        <f t="shared" si="11"/>
        <v>0</v>
      </c>
      <c r="L26" s="364" t="s">
        <v>193</v>
      </c>
      <c r="M26" s="238" t="s">
        <v>153</v>
      </c>
      <c r="N26" s="246">
        <v>11</v>
      </c>
      <c r="O26" s="351">
        <f t="shared" si="7"/>
        <v>0</v>
      </c>
      <c r="P26" s="244"/>
      <c r="Q26" s="238" t="s">
        <v>170</v>
      </c>
      <c r="R26" s="246">
        <v>11</v>
      </c>
      <c r="S26" s="350">
        <f t="shared" ref="S26:S31" si="12">IF(Q26=0,0,$AM7)</f>
        <v>0</v>
      </c>
      <c r="T26" s="232"/>
      <c r="U26" s="238" t="s">
        <v>152</v>
      </c>
      <c r="V26" s="243">
        <v>11</v>
      </c>
      <c r="W26" s="351">
        <f t="shared" si="9"/>
        <v>0</v>
      </c>
      <c r="X26" s="244"/>
      <c r="Y26" s="238" t="s">
        <v>152</v>
      </c>
      <c r="Z26" s="246">
        <v>11</v>
      </c>
      <c r="AA26" s="351">
        <f t="shared" si="10"/>
        <v>0</v>
      </c>
      <c r="AB26" s="247"/>
      <c r="AC26" s="238" t="s">
        <v>155</v>
      </c>
      <c r="AD26" s="245">
        <v>11</v>
      </c>
      <c r="AE26" s="355"/>
      <c r="AF26" s="249">
        <f>SUM(AE20:AE25)</f>
        <v>0</v>
      </c>
      <c r="AG26" s="238" t="s">
        <v>148</v>
      </c>
      <c r="AH26" s="243">
        <v>11</v>
      </c>
      <c r="AI26" s="354">
        <f>IF(AG26=0,0,$AM8)</f>
        <v>0</v>
      </c>
      <c r="AJ26" s="244"/>
      <c r="AK26" s="238" t="s">
        <v>153</v>
      </c>
      <c r="AL26" s="246">
        <v>11</v>
      </c>
      <c r="AM26" s="351">
        <f t="shared" si="8"/>
        <v>0</v>
      </c>
      <c r="AN26" s="244"/>
      <c r="AO26" s="238" t="s">
        <v>155</v>
      </c>
      <c r="AP26" s="245">
        <v>11</v>
      </c>
      <c r="AQ26" s="351">
        <f>IF(AO26=0,0,' Horaires hors période scolaire'!$N10)</f>
        <v>0</v>
      </c>
      <c r="AR26" s="252">
        <f>SUM(AQ21:AQ26)</f>
        <v>0</v>
      </c>
      <c r="AS26" s="238" t="s">
        <v>151</v>
      </c>
      <c r="AT26" s="245">
        <v>11</v>
      </c>
      <c r="AU26" s="351">
        <f>IF(AS26=0,0,' Horaires hors période scolaire'!$N6)</f>
        <v>0</v>
      </c>
      <c r="AV26" s="244"/>
    </row>
    <row r="27" spans="1:51" s="189" customFormat="1" ht="10.7" customHeight="1">
      <c r="A27" s="242" t="s">
        <v>154</v>
      </c>
      <c r="B27" s="243">
        <v>12</v>
      </c>
      <c r="C27" s="354">
        <f t="shared" si="6"/>
        <v>0</v>
      </c>
      <c r="D27" s="244"/>
      <c r="E27" s="238" t="s">
        <v>170</v>
      </c>
      <c r="F27" s="243">
        <v>12</v>
      </c>
      <c r="G27" s="350">
        <f t="shared" ref="G27:G32" si="13">IF(E27=0,0,$AM7)</f>
        <v>0</v>
      </c>
      <c r="H27" s="232"/>
      <c r="I27" s="238" t="s">
        <v>152</v>
      </c>
      <c r="J27" s="246">
        <v>12</v>
      </c>
      <c r="K27" s="351">
        <f t="shared" si="11"/>
        <v>0</v>
      </c>
      <c r="L27" s="244"/>
      <c r="M27" s="238" t="s">
        <v>154</v>
      </c>
      <c r="N27" s="246">
        <v>12</v>
      </c>
      <c r="O27" s="351">
        <f t="shared" si="7"/>
        <v>0</v>
      </c>
      <c r="P27" s="244"/>
      <c r="Q27" s="238" t="s">
        <v>148</v>
      </c>
      <c r="R27" s="246">
        <v>12</v>
      </c>
      <c r="S27" s="351">
        <f t="shared" si="12"/>
        <v>0</v>
      </c>
      <c r="T27" s="244"/>
      <c r="U27" s="238" t="s">
        <v>153</v>
      </c>
      <c r="V27" s="243">
        <v>12</v>
      </c>
      <c r="W27" s="351">
        <f t="shared" si="9"/>
        <v>0</v>
      </c>
      <c r="X27" s="244"/>
      <c r="Y27" s="238" t="s">
        <v>153</v>
      </c>
      <c r="Z27" s="246">
        <v>12</v>
      </c>
      <c r="AA27" s="351">
        <f t="shared" si="10"/>
        <v>0</v>
      </c>
      <c r="AB27" s="247"/>
      <c r="AC27" s="238" t="s">
        <v>170</v>
      </c>
      <c r="AD27" s="245">
        <v>12</v>
      </c>
      <c r="AE27" s="353"/>
      <c r="AF27" s="232"/>
      <c r="AG27" s="238" t="s">
        <v>151</v>
      </c>
      <c r="AH27" s="243">
        <v>12</v>
      </c>
      <c r="AI27" s="354">
        <f>IF(AG27=0,0,$AM9)</f>
        <v>0</v>
      </c>
      <c r="AJ27" s="244"/>
      <c r="AK27" s="238" t="s">
        <v>154</v>
      </c>
      <c r="AL27" s="246">
        <v>12</v>
      </c>
      <c r="AM27" s="351">
        <f t="shared" si="8"/>
        <v>0</v>
      </c>
      <c r="AN27" s="244"/>
      <c r="AO27" s="238" t="s">
        <v>170</v>
      </c>
      <c r="AP27" s="245">
        <v>12</v>
      </c>
      <c r="AQ27" s="359"/>
      <c r="AR27" s="232"/>
      <c r="AS27" s="238" t="s">
        <v>152</v>
      </c>
      <c r="AT27" s="245">
        <v>12</v>
      </c>
      <c r="AU27" s="351">
        <f>IF(AS27=0,0,' Horaires hors période scolaire'!$N7)</f>
        <v>0</v>
      </c>
      <c r="AV27" s="244"/>
    </row>
    <row r="28" spans="1:51" s="189" customFormat="1" ht="10.7" customHeight="1" thickBot="1">
      <c r="A28" s="242" t="s">
        <v>155</v>
      </c>
      <c r="B28" s="243">
        <v>13</v>
      </c>
      <c r="C28" s="355"/>
      <c r="D28" s="249">
        <f>SUM(C22:C27)</f>
        <v>0</v>
      </c>
      <c r="E28" s="238" t="s">
        <v>148</v>
      </c>
      <c r="F28" s="243">
        <v>13</v>
      </c>
      <c r="G28" s="351">
        <f t="shared" si="13"/>
        <v>0</v>
      </c>
      <c r="H28" s="244"/>
      <c r="I28" s="238" t="s">
        <v>153</v>
      </c>
      <c r="J28" s="246">
        <v>13</v>
      </c>
      <c r="K28" s="351">
        <f t="shared" si="11"/>
        <v>0</v>
      </c>
      <c r="L28" s="244"/>
      <c r="M28" s="238" t="s">
        <v>155</v>
      </c>
      <c r="N28" s="246">
        <v>13</v>
      </c>
      <c r="O28" s="314"/>
      <c r="P28" s="249">
        <f>SUM(O22:O27)</f>
        <v>0</v>
      </c>
      <c r="Q28" s="238" t="s">
        <v>151</v>
      </c>
      <c r="R28" s="246">
        <v>13</v>
      </c>
      <c r="S28" s="351">
        <f t="shared" si="12"/>
        <v>0</v>
      </c>
      <c r="T28" s="244"/>
      <c r="U28" s="238" t="s">
        <v>154</v>
      </c>
      <c r="V28" s="243">
        <v>13</v>
      </c>
      <c r="W28" s="351">
        <f t="shared" si="9"/>
        <v>0</v>
      </c>
      <c r="X28" s="244"/>
      <c r="Y28" s="238" t="s">
        <v>154</v>
      </c>
      <c r="Z28" s="246">
        <v>13</v>
      </c>
      <c r="AA28" s="351">
        <f t="shared" si="10"/>
        <v>0</v>
      </c>
      <c r="AB28" s="247"/>
      <c r="AC28" s="238" t="s">
        <v>148</v>
      </c>
      <c r="AD28" s="245">
        <v>13</v>
      </c>
      <c r="AE28" s="351">
        <f>IF(AC28=0,0,' Horaires hors période scolaire'!$N5)</f>
        <v>0</v>
      </c>
      <c r="AF28" s="244"/>
      <c r="AG28" s="238" t="s">
        <v>152</v>
      </c>
      <c r="AH28" s="243">
        <v>13</v>
      </c>
      <c r="AI28" s="354">
        <f>IF(AG28=0,0,$AM10)</f>
        <v>0</v>
      </c>
      <c r="AJ28" s="244"/>
      <c r="AK28" s="238" t="s">
        <v>155</v>
      </c>
      <c r="AL28" s="243">
        <v>13</v>
      </c>
      <c r="AM28" s="355"/>
      <c r="AN28" s="249">
        <f>SUM(AM22:AM27)</f>
        <v>0</v>
      </c>
      <c r="AO28" s="238" t="s">
        <v>148</v>
      </c>
      <c r="AP28" s="245">
        <v>13</v>
      </c>
      <c r="AQ28" s="351">
        <f>IF(AO28=0,0,' Horaires hors période scolaire'!$N5)</f>
        <v>0</v>
      </c>
      <c r="AR28" s="244"/>
      <c r="AS28" s="238" t="s">
        <v>153</v>
      </c>
      <c r="AT28" s="245">
        <v>13</v>
      </c>
      <c r="AU28" s="351">
        <f>IF(AS28=0,0,' Horaires hors période scolaire'!$N8)</f>
        <v>0</v>
      </c>
      <c r="AV28" s="244"/>
    </row>
    <row r="29" spans="1:51" s="189" customFormat="1" ht="10.7" customHeight="1" thickBot="1">
      <c r="A29" s="242" t="s">
        <v>170</v>
      </c>
      <c r="B29" s="243">
        <v>14</v>
      </c>
      <c r="C29" s="350">
        <f t="shared" ref="C29:C34" si="14">IF(A29=0,0,$AM7)</f>
        <v>0</v>
      </c>
      <c r="D29" s="232"/>
      <c r="E29" s="238" t="s">
        <v>151</v>
      </c>
      <c r="F29" s="243">
        <v>14</v>
      </c>
      <c r="G29" s="351">
        <f t="shared" si="13"/>
        <v>0</v>
      </c>
      <c r="H29" s="244"/>
      <c r="I29" s="238" t="s">
        <v>154</v>
      </c>
      <c r="J29" s="246">
        <v>14</v>
      </c>
      <c r="K29" s="351">
        <f t="shared" si="11"/>
        <v>0</v>
      </c>
      <c r="L29" s="244"/>
      <c r="M29" s="238" t="s">
        <v>170</v>
      </c>
      <c r="N29" s="246">
        <v>14</v>
      </c>
      <c r="O29" s="350">
        <f t="shared" ref="O29:O34" si="15">IF(M29=0,0,$AM7)</f>
        <v>0</v>
      </c>
      <c r="P29" s="232"/>
      <c r="Q29" s="238" t="s">
        <v>152</v>
      </c>
      <c r="R29" s="246">
        <v>14</v>
      </c>
      <c r="S29" s="351">
        <f t="shared" si="12"/>
        <v>0</v>
      </c>
      <c r="T29" s="244"/>
      <c r="U29" s="238" t="s">
        <v>155</v>
      </c>
      <c r="V29" s="245">
        <v>14</v>
      </c>
      <c r="W29" s="355"/>
      <c r="X29" s="249">
        <f>SUM(W23:W28)</f>
        <v>0</v>
      </c>
      <c r="Y29" s="238" t="s">
        <v>155</v>
      </c>
      <c r="Z29" s="246">
        <v>14</v>
      </c>
      <c r="AA29" s="355"/>
      <c r="AB29" s="249">
        <f>SUM(AA23:AA28)</f>
        <v>0</v>
      </c>
      <c r="AC29" s="238" t="s">
        <v>151</v>
      </c>
      <c r="AD29" s="245">
        <v>14</v>
      </c>
      <c r="AE29" s="351">
        <f>IF(AC29=0,0,' Horaires hors période scolaire'!$N6)</f>
        <v>0</v>
      </c>
      <c r="AF29" s="244"/>
      <c r="AG29" s="238" t="s">
        <v>153</v>
      </c>
      <c r="AH29" s="255">
        <v>14</v>
      </c>
      <c r="AI29" s="254"/>
      <c r="AJ29" s="364" t="s">
        <v>194</v>
      </c>
      <c r="AK29" s="238" t="s">
        <v>170</v>
      </c>
      <c r="AL29" s="246">
        <v>14</v>
      </c>
      <c r="AM29" s="353">
        <f t="shared" ref="AM29:AM34" si="16">IF(AK29=0,0,$AM7)</f>
        <v>0</v>
      </c>
      <c r="AN29" s="232"/>
      <c r="AO29" s="238" t="s">
        <v>151</v>
      </c>
      <c r="AP29" s="255">
        <v>14</v>
      </c>
      <c r="AQ29" s="254"/>
      <c r="AR29" s="364" t="s">
        <v>195</v>
      </c>
      <c r="AS29" s="238" t="s">
        <v>154</v>
      </c>
      <c r="AT29" s="245">
        <v>14</v>
      </c>
      <c r="AU29" s="351">
        <f>IF(AS29=0,0,' Horaires hors période scolaire'!$N9)</f>
        <v>0</v>
      </c>
      <c r="AV29" s="244"/>
      <c r="AY29" s="241"/>
    </row>
    <row r="30" spans="1:51" s="189" customFormat="1" ht="10.7" customHeight="1" thickBot="1">
      <c r="A30" s="242" t="s">
        <v>148</v>
      </c>
      <c r="B30" s="243">
        <v>15</v>
      </c>
      <c r="C30" s="351">
        <f t="shared" si="14"/>
        <v>0</v>
      </c>
      <c r="D30" s="244"/>
      <c r="E30" s="238" t="s">
        <v>152</v>
      </c>
      <c r="F30" s="243">
        <v>15</v>
      </c>
      <c r="G30" s="351">
        <f t="shared" si="13"/>
        <v>0</v>
      </c>
      <c r="H30" s="244"/>
      <c r="I30" s="238" t="s">
        <v>155</v>
      </c>
      <c r="J30" s="246">
        <v>15</v>
      </c>
      <c r="K30" s="355"/>
      <c r="L30" s="249">
        <f>SUM(K24:K29)</f>
        <v>0</v>
      </c>
      <c r="M30" s="238" t="s">
        <v>148</v>
      </c>
      <c r="N30" s="246">
        <v>15</v>
      </c>
      <c r="O30" s="351">
        <f t="shared" si="15"/>
        <v>0</v>
      </c>
      <c r="P30" s="244"/>
      <c r="Q30" s="238" t="s">
        <v>153</v>
      </c>
      <c r="R30" s="246">
        <v>15</v>
      </c>
      <c r="S30" s="351">
        <f t="shared" si="12"/>
        <v>0</v>
      </c>
      <c r="T30" s="244"/>
      <c r="U30" s="238" t="s">
        <v>170</v>
      </c>
      <c r="V30" s="245">
        <v>15</v>
      </c>
      <c r="W30" s="350"/>
      <c r="X30" s="232"/>
      <c r="Y30" s="238" t="s">
        <v>170</v>
      </c>
      <c r="Z30" s="246">
        <v>15</v>
      </c>
      <c r="AA30" s="350">
        <f t="shared" ref="AA30:AA35" si="17">IF(Y30=0,0,$AM7)</f>
        <v>0</v>
      </c>
      <c r="AB30" s="239"/>
      <c r="AC30" s="238" t="s">
        <v>152</v>
      </c>
      <c r="AD30" s="245">
        <v>15</v>
      </c>
      <c r="AE30" s="351">
        <f>IF(AC30=0,0,' Horaires hors période scolaire'!$N7)</f>
        <v>0</v>
      </c>
      <c r="AF30" s="244"/>
      <c r="AG30" s="238" t="s">
        <v>154</v>
      </c>
      <c r="AH30" s="245">
        <v>15</v>
      </c>
      <c r="AI30" s="354"/>
      <c r="AJ30" s="244"/>
      <c r="AK30" s="238" t="s">
        <v>148</v>
      </c>
      <c r="AL30" s="246">
        <v>15</v>
      </c>
      <c r="AM30" s="354">
        <f t="shared" si="16"/>
        <v>0</v>
      </c>
      <c r="AN30" s="244"/>
      <c r="AO30" s="238" t="s">
        <v>152</v>
      </c>
      <c r="AP30" s="245">
        <v>15</v>
      </c>
      <c r="AQ30" s="351">
        <f>IF(AO30=0,0,' Horaires hors période scolaire'!$N7)</f>
        <v>0</v>
      </c>
      <c r="AR30" s="244"/>
      <c r="AS30" s="238" t="s">
        <v>155</v>
      </c>
      <c r="AT30" s="255">
        <v>15</v>
      </c>
      <c r="AU30" s="256" t="s">
        <v>196</v>
      </c>
      <c r="AV30" s="249">
        <f>SUM(AU25:AU30)</f>
        <v>0</v>
      </c>
      <c r="AY30" s="241"/>
    </row>
    <row r="31" spans="1:51" s="189" customFormat="1" ht="10.7" customHeight="1" thickBot="1">
      <c r="A31" s="242" t="s">
        <v>151</v>
      </c>
      <c r="B31" s="243">
        <v>16</v>
      </c>
      <c r="C31" s="351">
        <f t="shared" si="14"/>
        <v>0</v>
      </c>
      <c r="D31" s="244"/>
      <c r="E31" s="238" t="s">
        <v>153</v>
      </c>
      <c r="F31" s="243">
        <v>16</v>
      </c>
      <c r="G31" s="351">
        <f t="shared" si="13"/>
        <v>0</v>
      </c>
      <c r="H31" s="244"/>
      <c r="I31" s="238" t="s">
        <v>170</v>
      </c>
      <c r="J31" s="246">
        <v>16</v>
      </c>
      <c r="K31" s="350">
        <f t="shared" ref="K31:K36" si="18">IF(I31=0,0,$AM7)</f>
        <v>0</v>
      </c>
      <c r="L31" s="232"/>
      <c r="M31" s="238" t="s">
        <v>151</v>
      </c>
      <c r="N31" s="246">
        <v>16</v>
      </c>
      <c r="O31" s="351">
        <f t="shared" si="15"/>
        <v>0</v>
      </c>
      <c r="P31" s="244"/>
      <c r="Q31" s="238" t="s">
        <v>154</v>
      </c>
      <c r="R31" s="246">
        <v>16</v>
      </c>
      <c r="S31" s="351">
        <f t="shared" si="12"/>
        <v>0</v>
      </c>
      <c r="T31" s="244"/>
      <c r="U31" s="238" t="s">
        <v>148</v>
      </c>
      <c r="V31" s="245">
        <v>16</v>
      </c>
      <c r="W31" s="351">
        <f>IF(U31=0,0,' Horaires hors période scolaire'!$N5)</f>
        <v>0</v>
      </c>
      <c r="X31" s="244"/>
      <c r="Y31" s="238" t="s">
        <v>148</v>
      </c>
      <c r="Z31" s="246">
        <v>16</v>
      </c>
      <c r="AA31" s="351">
        <f t="shared" si="17"/>
        <v>0</v>
      </c>
      <c r="AB31" s="247"/>
      <c r="AC31" s="238" t="s">
        <v>153</v>
      </c>
      <c r="AD31" s="245">
        <v>16</v>
      </c>
      <c r="AE31" s="351">
        <f>IF(AC31=0,0,' Horaires hors période scolaire'!$N8)</f>
        <v>0</v>
      </c>
      <c r="AF31" s="244"/>
      <c r="AG31" s="238" t="s">
        <v>155</v>
      </c>
      <c r="AH31" s="245">
        <v>16</v>
      </c>
      <c r="AI31" s="355"/>
      <c r="AJ31" s="249">
        <f>SUM(AI25:AI30)</f>
        <v>0</v>
      </c>
      <c r="AK31" s="238" t="s">
        <v>151</v>
      </c>
      <c r="AL31" s="246">
        <v>16</v>
      </c>
      <c r="AM31" s="354">
        <f t="shared" si="16"/>
        <v>0</v>
      </c>
      <c r="AN31" s="244"/>
      <c r="AO31" s="238" t="s">
        <v>153</v>
      </c>
      <c r="AP31" s="245">
        <v>16</v>
      </c>
      <c r="AQ31" s="351">
        <f>IF(AO31=0,0,' Horaires hors période scolaire'!$N8)</f>
        <v>0</v>
      </c>
      <c r="AR31" s="244"/>
      <c r="AS31" s="238" t="s">
        <v>170</v>
      </c>
      <c r="AT31" s="245">
        <v>16</v>
      </c>
      <c r="AU31" s="359"/>
      <c r="AV31" s="232"/>
      <c r="AY31" s="241"/>
    </row>
    <row r="32" spans="1:51" s="189" customFormat="1" ht="10.7" customHeight="1" thickBot="1">
      <c r="A32" s="242" t="s">
        <v>152</v>
      </c>
      <c r="B32" s="243">
        <v>17</v>
      </c>
      <c r="C32" s="351">
        <f t="shared" si="14"/>
        <v>0</v>
      </c>
      <c r="D32" s="244"/>
      <c r="E32" s="238" t="s">
        <v>154</v>
      </c>
      <c r="F32" s="243">
        <v>17</v>
      </c>
      <c r="G32" s="351">
        <f t="shared" si="13"/>
        <v>0</v>
      </c>
      <c r="H32" s="244"/>
      <c r="I32" s="238" t="s">
        <v>148</v>
      </c>
      <c r="J32" s="246">
        <v>17</v>
      </c>
      <c r="K32" s="351">
        <f t="shared" si="18"/>
        <v>0</v>
      </c>
      <c r="L32" s="244"/>
      <c r="M32" s="238" t="s">
        <v>152</v>
      </c>
      <c r="N32" s="243">
        <v>17</v>
      </c>
      <c r="O32" s="351">
        <f t="shared" si="15"/>
        <v>0</v>
      </c>
      <c r="P32" s="244"/>
      <c r="Q32" s="238" t="s">
        <v>155</v>
      </c>
      <c r="R32" s="246">
        <v>17</v>
      </c>
      <c r="S32" s="355"/>
      <c r="T32" s="249">
        <f>SUM(S26:S31)</f>
        <v>0</v>
      </c>
      <c r="U32" s="238" t="s">
        <v>151</v>
      </c>
      <c r="V32" s="245">
        <v>17</v>
      </c>
      <c r="W32" s="351">
        <f>IF(U32=0,0,' Horaires hors période scolaire'!$N6)</f>
        <v>0</v>
      </c>
      <c r="X32" s="244"/>
      <c r="Y32" s="238" t="s">
        <v>151</v>
      </c>
      <c r="Z32" s="246">
        <v>17</v>
      </c>
      <c r="AA32" s="351">
        <f t="shared" si="17"/>
        <v>0</v>
      </c>
      <c r="AB32" s="247"/>
      <c r="AC32" s="238" t="s">
        <v>154</v>
      </c>
      <c r="AD32" s="245">
        <v>17</v>
      </c>
      <c r="AE32" s="351">
        <f>IF(AC32=0,0,' Horaires hors période scolaire'!$N9)</f>
        <v>0</v>
      </c>
      <c r="AF32" s="244"/>
      <c r="AG32" s="238" t="s">
        <v>170</v>
      </c>
      <c r="AH32" s="245">
        <v>17</v>
      </c>
      <c r="AI32" s="353">
        <f t="shared" ref="AI32:AI37" si="19">IF(AG32=0,0,$AM7)</f>
        <v>0</v>
      </c>
      <c r="AJ32" s="232"/>
      <c r="AK32" s="238" t="s">
        <v>152</v>
      </c>
      <c r="AL32" s="246">
        <v>17</v>
      </c>
      <c r="AM32" s="354">
        <f t="shared" si="16"/>
        <v>0</v>
      </c>
      <c r="AN32" s="244"/>
      <c r="AO32" s="238" t="s">
        <v>154</v>
      </c>
      <c r="AP32" s="245">
        <v>17</v>
      </c>
      <c r="AQ32" s="351">
        <f>IF(AO32=0,0,' Horaires hors période scolaire'!$N9)</f>
        <v>0</v>
      </c>
      <c r="AR32" s="244"/>
      <c r="AS32" s="238" t="s">
        <v>148</v>
      </c>
      <c r="AT32" s="245">
        <v>17</v>
      </c>
      <c r="AU32" s="351">
        <f>IF(AS32=0,0,' Horaires hors période scolaire'!$N5)</f>
        <v>0</v>
      </c>
      <c r="AV32" s="244"/>
      <c r="AY32" s="241"/>
    </row>
    <row r="33" spans="1:58" s="189" customFormat="1" ht="10.7" customHeight="1" thickBot="1">
      <c r="A33" s="242" t="s">
        <v>153</v>
      </c>
      <c r="B33" s="243">
        <v>18</v>
      </c>
      <c r="C33" s="351">
        <f t="shared" si="14"/>
        <v>0</v>
      </c>
      <c r="D33" s="244"/>
      <c r="E33" s="238" t="s">
        <v>155</v>
      </c>
      <c r="F33" s="245">
        <v>18</v>
      </c>
      <c r="G33" s="352"/>
      <c r="H33" s="252">
        <f>SUM(G27:G32)</f>
        <v>0</v>
      </c>
      <c r="I33" s="238" t="s">
        <v>151</v>
      </c>
      <c r="J33" s="246">
        <v>18</v>
      </c>
      <c r="K33" s="351">
        <f t="shared" si="18"/>
        <v>0</v>
      </c>
      <c r="L33" s="244"/>
      <c r="M33" s="238" t="s">
        <v>153</v>
      </c>
      <c r="N33" s="243">
        <v>18</v>
      </c>
      <c r="O33" s="351">
        <f t="shared" si="15"/>
        <v>0</v>
      </c>
      <c r="P33" s="244"/>
      <c r="Q33" s="238" t="s">
        <v>170</v>
      </c>
      <c r="R33" s="246">
        <v>18</v>
      </c>
      <c r="S33" s="350">
        <f t="shared" ref="S33:S38" si="20">IF(Q33=0,0,$AM7)</f>
        <v>0</v>
      </c>
      <c r="T33" s="232"/>
      <c r="U33" s="238" t="s">
        <v>152</v>
      </c>
      <c r="V33" s="245">
        <v>18</v>
      </c>
      <c r="W33" s="351">
        <f>IF(U33=0,0,' Horaires hors période scolaire'!$N7)</f>
        <v>0</v>
      </c>
      <c r="X33" s="257"/>
      <c r="Y33" s="238" t="s">
        <v>152</v>
      </c>
      <c r="Z33" s="246">
        <v>18</v>
      </c>
      <c r="AA33" s="351">
        <f t="shared" si="17"/>
        <v>0</v>
      </c>
      <c r="AB33" s="247"/>
      <c r="AC33" s="238" t="s">
        <v>155</v>
      </c>
      <c r="AD33" s="245">
        <v>18</v>
      </c>
      <c r="AE33" s="351">
        <f>IF(AC33=0,0,' Horaires hors période scolaire'!$N10)</f>
        <v>0</v>
      </c>
      <c r="AF33" s="249">
        <f>SUM(AE28:AE33)</f>
        <v>0</v>
      </c>
      <c r="AG33" s="238" t="s">
        <v>148</v>
      </c>
      <c r="AH33" s="243">
        <v>18</v>
      </c>
      <c r="AI33" s="351">
        <f t="shared" si="19"/>
        <v>0</v>
      </c>
      <c r="AJ33" s="244"/>
      <c r="AK33" s="238" t="s">
        <v>153</v>
      </c>
      <c r="AL33" s="246">
        <v>18</v>
      </c>
      <c r="AM33" s="354">
        <f t="shared" si="16"/>
        <v>0</v>
      </c>
      <c r="AN33" s="244"/>
      <c r="AO33" s="238" t="s">
        <v>155</v>
      </c>
      <c r="AP33" s="245">
        <v>18</v>
      </c>
      <c r="AQ33" s="351">
        <f>IF(AO33=0,0,' Horaires hors période scolaire'!$N10)</f>
        <v>0</v>
      </c>
      <c r="AR33" s="249">
        <f>SUM(AQ28:AQ33)</f>
        <v>0</v>
      </c>
      <c r="AS33" s="238" t="s">
        <v>151</v>
      </c>
      <c r="AT33" s="245">
        <v>18</v>
      </c>
      <c r="AU33" s="351">
        <f>IF(AS33=0,0,' Horaires hors période scolaire'!$N6)</f>
        <v>0</v>
      </c>
      <c r="AV33" s="244"/>
      <c r="AY33" s="241"/>
      <c r="AZ33" s="241"/>
      <c r="BA33" s="241"/>
    </row>
    <row r="34" spans="1:58" s="189" customFormat="1" ht="10.7" customHeight="1">
      <c r="A34" s="242" t="s">
        <v>154</v>
      </c>
      <c r="B34" s="243">
        <v>19</v>
      </c>
      <c r="C34" s="351">
        <f t="shared" si="14"/>
        <v>0</v>
      </c>
      <c r="D34" s="244"/>
      <c r="E34" s="238" t="s">
        <v>170</v>
      </c>
      <c r="F34" s="245">
        <v>19</v>
      </c>
      <c r="G34" s="350"/>
      <c r="H34" s="232"/>
      <c r="I34" s="238" t="s">
        <v>152</v>
      </c>
      <c r="J34" s="246">
        <v>19</v>
      </c>
      <c r="K34" s="351">
        <f t="shared" si="18"/>
        <v>0</v>
      </c>
      <c r="L34" s="244"/>
      <c r="M34" s="238" t="s">
        <v>154</v>
      </c>
      <c r="N34" s="243">
        <v>19</v>
      </c>
      <c r="O34" s="351">
        <f t="shared" si="15"/>
        <v>0</v>
      </c>
      <c r="P34" s="244"/>
      <c r="Q34" s="238" t="s">
        <v>148</v>
      </c>
      <c r="R34" s="246">
        <v>19</v>
      </c>
      <c r="S34" s="351">
        <f t="shared" si="20"/>
        <v>0</v>
      </c>
      <c r="T34" s="244"/>
      <c r="U34" s="238" t="s">
        <v>153</v>
      </c>
      <c r="V34" s="245">
        <v>19</v>
      </c>
      <c r="W34" s="351">
        <f>IF(U34=0,0,' Horaires hors période scolaire'!$N8)</f>
        <v>0</v>
      </c>
      <c r="X34" s="244"/>
      <c r="Y34" s="238" t="s">
        <v>153</v>
      </c>
      <c r="Z34" s="246">
        <v>19</v>
      </c>
      <c r="AA34" s="351">
        <f t="shared" si="17"/>
        <v>0</v>
      </c>
      <c r="AB34" s="247"/>
      <c r="AC34" s="238" t="s">
        <v>170</v>
      </c>
      <c r="AD34" s="245">
        <v>19</v>
      </c>
      <c r="AE34" s="353"/>
      <c r="AF34" s="232"/>
      <c r="AG34" s="238" t="s">
        <v>151</v>
      </c>
      <c r="AH34" s="243">
        <v>19</v>
      </c>
      <c r="AI34" s="351">
        <f t="shared" si="19"/>
        <v>0</v>
      </c>
      <c r="AJ34" s="244"/>
      <c r="AK34" s="238" t="s">
        <v>154</v>
      </c>
      <c r="AL34" s="246">
        <v>19</v>
      </c>
      <c r="AM34" s="354">
        <f t="shared" si="16"/>
        <v>0</v>
      </c>
      <c r="AN34" s="244"/>
      <c r="AO34" s="238" t="s">
        <v>170</v>
      </c>
      <c r="AP34" s="245">
        <v>19</v>
      </c>
      <c r="AQ34" s="359"/>
      <c r="AR34" s="232"/>
      <c r="AS34" s="238" t="s">
        <v>152</v>
      </c>
      <c r="AT34" s="245">
        <v>19</v>
      </c>
      <c r="AU34" s="351">
        <f>IF(AS34=0,0,' Horaires hors période scolaire'!$N7)</f>
        <v>0</v>
      </c>
      <c r="AV34" s="244"/>
    </row>
    <row r="35" spans="1:58" s="189" customFormat="1" ht="10.7" customHeight="1" thickBot="1">
      <c r="A35" s="242" t="s">
        <v>155</v>
      </c>
      <c r="B35" s="243">
        <v>20</v>
      </c>
      <c r="C35" s="355"/>
      <c r="D35" s="249">
        <f>SUM(C29:C34)</f>
        <v>0</v>
      </c>
      <c r="E35" s="238" t="s">
        <v>148</v>
      </c>
      <c r="F35" s="245">
        <v>20</v>
      </c>
      <c r="G35" s="351">
        <f>IF(E35=0,0,' Horaires hors période scolaire'!$N5)</f>
        <v>0</v>
      </c>
      <c r="H35" s="244"/>
      <c r="I35" s="238" t="s">
        <v>153</v>
      </c>
      <c r="J35" s="246">
        <v>20</v>
      </c>
      <c r="K35" s="351">
        <f t="shared" si="18"/>
        <v>0</v>
      </c>
      <c r="L35" s="244"/>
      <c r="M35" s="238" t="s">
        <v>155</v>
      </c>
      <c r="N35" s="245">
        <v>20</v>
      </c>
      <c r="O35" s="355"/>
      <c r="P35" s="249">
        <f>SUM(O29:O34)</f>
        <v>0</v>
      </c>
      <c r="Q35" s="238" t="s">
        <v>151</v>
      </c>
      <c r="R35" s="246">
        <v>20</v>
      </c>
      <c r="S35" s="351">
        <f t="shared" si="20"/>
        <v>0</v>
      </c>
      <c r="T35" s="244"/>
      <c r="U35" s="238" t="s">
        <v>154</v>
      </c>
      <c r="V35" s="245">
        <v>20</v>
      </c>
      <c r="W35" s="351">
        <f>IF(U35=0,0,' Horaires hors période scolaire'!$N9)</f>
        <v>0</v>
      </c>
      <c r="X35" s="244"/>
      <c r="Y35" s="238" t="s">
        <v>154</v>
      </c>
      <c r="Z35" s="246">
        <v>20</v>
      </c>
      <c r="AA35" s="351">
        <f t="shared" si="17"/>
        <v>0</v>
      </c>
      <c r="AB35" s="247"/>
      <c r="AC35" s="238" t="s">
        <v>148</v>
      </c>
      <c r="AD35" s="245">
        <v>20</v>
      </c>
      <c r="AE35" s="351">
        <f>IF(AC35=0,0,' Horaires hors période scolaire'!$N5)</f>
        <v>0</v>
      </c>
      <c r="AF35" s="244"/>
      <c r="AG35" s="238" t="s">
        <v>152</v>
      </c>
      <c r="AH35" s="243">
        <v>20</v>
      </c>
      <c r="AI35" s="351">
        <f t="shared" si="19"/>
        <v>0</v>
      </c>
      <c r="AJ35" s="244"/>
      <c r="AK35" s="238" t="s">
        <v>155</v>
      </c>
      <c r="AL35" s="246">
        <v>20</v>
      </c>
      <c r="AM35" s="355"/>
      <c r="AN35" s="249">
        <f>SUM(AM29:AM34)</f>
        <v>0</v>
      </c>
      <c r="AO35" s="238" t="s">
        <v>148</v>
      </c>
      <c r="AP35" s="245">
        <v>20</v>
      </c>
      <c r="AQ35" s="351">
        <f>IF(AO35=0,0,' Horaires hors période scolaire'!$N5)</f>
        <v>0</v>
      </c>
      <c r="AR35" s="244"/>
      <c r="AS35" s="238" t="s">
        <v>153</v>
      </c>
      <c r="AT35" s="245">
        <v>20</v>
      </c>
      <c r="AU35" s="351">
        <f>IF(AS35=0,0,' Horaires hors période scolaire'!$N8)</f>
        <v>0</v>
      </c>
      <c r="AV35" s="244"/>
    </row>
    <row r="36" spans="1:58" s="189" customFormat="1" ht="10.7" customHeight="1" thickBot="1">
      <c r="A36" s="242" t="s">
        <v>170</v>
      </c>
      <c r="B36" s="243">
        <v>21</v>
      </c>
      <c r="C36" s="350">
        <f t="shared" ref="C36:C41" si="21">IF(A36=0,0,$AM7)</f>
        <v>0</v>
      </c>
      <c r="D36" s="232"/>
      <c r="E36" s="238" t="s">
        <v>151</v>
      </c>
      <c r="F36" s="245">
        <v>21</v>
      </c>
      <c r="G36" s="351">
        <f>IF(E36=0,0,' Horaires hors période scolaire'!$N6)</f>
        <v>0</v>
      </c>
      <c r="H36" s="244"/>
      <c r="I36" s="238" t="s">
        <v>154</v>
      </c>
      <c r="J36" s="246">
        <v>21</v>
      </c>
      <c r="K36" s="351">
        <f t="shared" si="18"/>
        <v>0</v>
      </c>
      <c r="L36" s="244"/>
      <c r="M36" s="238" t="s">
        <v>170</v>
      </c>
      <c r="N36" s="245">
        <v>21</v>
      </c>
      <c r="O36" s="350"/>
      <c r="P36" s="232"/>
      <c r="Q36" s="238" t="s">
        <v>152</v>
      </c>
      <c r="R36" s="246">
        <v>21</v>
      </c>
      <c r="S36" s="351">
        <f t="shared" si="20"/>
        <v>0</v>
      </c>
      <c r="T36" s="244"/>
      <c r="U36" s="238" t="s">
        <v>155</v>
      </c>
      <c r="V36" s="245">
        <v>21</v>
      </c>
      <c r="W36" s="351">
        <f>IF(U36=0,0,' Horaires hors période scolaire'!$N10)</f>
        <v>0</v>
      </c>
      <c r="X36" s="249">
        <f>SUM(W31:W36)</f>
        <v>0</v>
      </c>
      <c r="Y36" s="238" t="s">
        <v>155</v>
      </c>
      <c r="Z36" s="246">
        <v>21</v>
      </c>
      <c r="AA36" s="355"/>
      <c r="AB36" s="249">
        <f>SUM(AA30:AA35)</f>
        <v>0</v>
      </c>
      <c r="AC36" s="238" t="s">
        <v>151</v>
      </c>
      <c r="AD36" s="245">
        <v>21</v>
      </c>
      <c r="AE36" s="351">
        <f>IF(AC36=0,0,' Horaires hors période scolaire'!$N6)</f>
        <v>0</v>
      </c>
      <c r="AF36" s="244"/>
      <c r="AG36" s="238" t="s">
        <v>153</v>
      </c>
      <c r="AH36" s="243">
        <v>21</v>
      </c>
      <c r="AI36" s="351">
        <f t="shared" si="19"/>
        <v>0</v>
      </c>
      <c r="AJ36" s="244"/>
      <c r="AK36" s="238" t="s">
        <v>170</v>
      </c>
      <c r="AL36" s="246">
        <v>21</v>
      </c>
      <c r="AM36" s="350">
        <f t="shared" ref="AM36:AM41" si="22">IF(AK36=0,0,$AM7)</f>
        <v>0</v>
      </c>
      <c r="AN36" s="232"/>
      <c r="AO36" s="238" t="s">
        <v>151</v>
      </c>
      <c r="AP36" s="245">
        <v>21</v>
      </c>
      <c r="AQ36" s="351">
        <f>IF(AO36=0,0,' Horaires hors période scolaire'!$N6)</f>
        <v>0</v>
      </c>
      <c r="AR36" s="244"/>
      <c r="AS36" s="238" t="s">
        <v>154</v>
      </c>
      <c r="AT36" s="245">
        <v>21</v>
      </c>
      <c r="AU36" s="351">
        <f>IF(AS36=0,0,' Horaires hors période scolaire'!$N9)</f>
        <v>0</v>
      </c>
      <c r="AV36" s="244"/>
    </row>
    <row r="37" spans="1:58" s="189" customFormat="1" ht="10.7" customHeight="1" thickBot="1">
      <c r="A37" s="242" t="s">
        <v>148</v>
      </c>
      <c r="B37" s="243">
        <v>22</v>
      </c>
      <c r="C37" s="351">
        <f t="shared" si="21"/>
        <v>0</v>
      </c>
      <c r="D37" s="244"/>
      <c r="E37" s="238" t="s">
        <v>152</v>
      </c>
      <c r="F37" s="245">
        <v>22</v>
      </c>
      <c r="G37" s="351">
        <f>IF(E37=0,0,' Horaires hors période scolaire'!$N7)</f>
        <v>0</v>
      </c>
      <c r="H37" s="244"/>
      <c r="I37" s="238" t="s">
        <v>155</v>
      </c>
      <c r="J37" s="246">
        <v>22</v>
      </c>
      <c r="K37" s="355"/>
      <c r="L37" s="249">
        <f>SUM(K31:K36)</f>
        <v>0</v>
      </c>
      <c r="M37" s="238" t="s">
        <v>148</v>
      </c>
      <c r="N37" s="245">
        <v>22</v>
      </c>
      <c r="O37" s="351">
        <f>IF(M37=0,0,' Horaires hors période scolaire'!$N5)</f>
        <v>0</v>
      </c>
      <c r="P37" s="244"/>
      <c r="Q37" s="238" t="s">
        <v>153</v>
      </c>
      <c r="R37" s="246">
        <v>22</v>
      </c>
      <c r="S37" s="351">
        <f t="shared" si="20"/>
        <v>0</v>
      </c>
      <c r="T37" s="244"/>
      <c r="U37" s="238" t="s">
        <v>170</v>
      </c>
      <c r="V37" s="245">
        <v>22</v>
      </c>
      <c r="W37" s="350"/>
      <c r="X37" s="232"/>
      <c r="Y37" s="238" t="s">
        <v>170</v>
      </c>
      <c r="Z37" s="246">
        <v>22</v>
      </c>
      <c r="AA37" s="350">
        <f t="shared" ref="AA37:AA42" si="23">IF(Y37=0,0,$AM7)</f>
        <v>0</v>
      </c>
      <c r="AB37" s="239"/>
      <c r="AC37" s="238" t="s">
        <v>152</v>
      </c>
      <c r="AD37" s="245">
        <v>22</v>
      </c>
      <c r="AE37" s="351">
        <f>IF(AC37=0,0,' Horaires hors période scolaire'!$N7)</f>
        <v>0</v>
      </c>
      <c r="AF37" s="244"/>
      <c r="AG37" s="238" t="s">
        <v>154</v>
      </c>
      <c r="AH37" s="243">
        <v>22</v>
      </c>
      <c r="AI37" s="351">
        <f t="shared" si="19"/>
        <v>0</v>
      </c>
      <c r="AJ37" s="244"/>
      <c r="AK37" s="238" t="s">
        <v>148</v>
      </c>
      <c r="AL37" s="246">
        <v>22</v>
      </c>
      <c r="AM37" s="351">
        <f t="shared" si="22"/>
        <v>0</v>
      </c>
      <c r="AN37" s="244"/>
      <c r="AO37" s="238" t="s">
        <v>152</v>
      </c>
      <c r="AP37" s="245">
        <v>22</v>
      </c>
      <c r="AQ37" s="351">
        <f>IF(AO37=0,0,' Horaires hors période scolaire'!$N7)</f>
        <v>0</v>
      </c>
      <c r="AR37" s="244"/>
      <c r="AS37" s="238" t="s">
        <v>155</v>
      </c>
      <c r="AT37" s="245">
        <v>22</v>
      </c>
      <c r="AU37" s="351">
        <f>IF(AS37=0,0,' Horaires hors période scolaire'!$N10)</f>
        <v>0</v>
      </c>
      <c r="AV37" s="249">
        <f>SUM(AU32:AU37)</f>
        <v>0</v>
      </c>
    </row>
    <row r="38" spans="1:58" s="189" customFormat="1" ht="10.7" customHeight="1" thickBot="1">
      <c r="A38" s="242" t="s">
        <v>151</v>
      </c>
      <c r="B38" s="243">
        <v>23</v>
      </c>
      <c r="C38" s="351">
        <f t="shared" si="21"/>
        <v>0</v>
      </c>
      <c r="D38" s="244"/>
      <c r="E38" s="238" t="s">
        <v>153</v>
      </c>
      <c r="F38" s="245">
        <v>23</v>
      </c>
      <c r="G38" s="351">
        <f>IF(E38=0,0,' Horaires hors période scolaire'!$N8)</f>
        <v>0</v>
      </c>
      <c r="H38" s="244"/>
      <c r="I38" s="238" t="s">
        <v>170</v>
      </c>
      <c r="J38" s="246">
        <v>23</v>
      </c>
      <c r="K38" s="350">
        <f t="shared" ref="K38:K43" si="24">IF(I38=0,0,$AM7)</f>
        <v>0</v>
      </c>
      <c r="L38" s="232"/>
      <c r="M38" s="238" t="s">
        <v>151</v>
      </c>
      <c r="N38" s="245">
        <v>23</v>
      </c>
      <c r="O38" s="351">
        <f>IF(M38=0,0,' Horaires hors période scolaire'!$N6)</f>
        <v>0</v>
      </c>
      <c r="P38" s="244"/>
      <c r="Q38" s="238" t="s">
        <v>154</v>
      </c>
      <c r="R38" s="246">
        <v>23</v>
      </c>
      <c r="S38" s="351">
        <f t="shared" si="20"/>
        <v>0</v>
      </c>
      <c r="T38" s="244"/>
      <c r="U38" s="238" t="s">
        <v>148</v>
      </c>
      <c r="V38" s="245">
        <v>23</v>
      </c>
      <c r="W38" s="351">
        <f>IF(U38=0,0,' Horaires hors période scolaire'!$N5)</f>
        <v>0</v>
      </c>
      <c r="X38" s="244"/>
      <c r="Y38" s="238" t="s">
        <v>148</v>
      </c>
      <c r="Z38" s="246">
        <v>23</v>
      </c>
      <c r="AA38" s="351">
        <f t="shared" si="23"/>
        <v>0</v>
      </c>
      <c r="AB38" s="247"/>
      <c r="AC38" s="238" t="s">
        <v>153</v>
      </c>
      <c r="AD38" s="245">
        <v>23</v>
      </c>
      <c r="AE38" s="351">
        <f>IF(AC38=0,0,' Horaires hors période scolaire'!$N8)</f>
        <v>0</v>
      </c>
      <c r="AF38" s="244"/>
      <c r="AG38" s="238" t="s">
        <v>155</v>
      </c>
      <c r="AH38" s="243">
        <v>23</v>
      </c>
      <c r="AI38" s="355"/>
      <c r="AJ38" s="249">
        <f>SUM(AI32:AI37)</f>
        <v>0</v>
      </c>
      <c r="AK38" s="238" t="s">
        <v>151</v>
      </c>
      <c r="AL38" s="246">
        <v>23</v>
      </c>
      <c r="AM38" s="351">
        <f t="shared" si="22"/>
        <v>0</v>
      </c>
      <c r="AN38" s="244"/>
      <c r="AO38" s="238" t="s">
        <v>153</v>
      </c>
      <c r="AP38" s="245">
        <v>23</v>
      </c>
      <c r="AQ38" s="351">
        <f>IF(AO38=0,0,' Horaires hors période scolaire'!$N8)</f>
        <v>0</v>
      </c>
      <c r="AR38" s="244"/>
      <c r="AS38" s="238" t="s">
        <v>170</v>
      </c>
      <c r="AT38" s="245">
        <v>23</v>
      </c>
      <c r="AU38" s="359"/>
      <c r="AV38" s="232"/>
    </row>
    <row r="39" spans="1:58" s="189" customFormat="1" ht="10.7" customHeight="1" thickBot="1">
      <c r="A39" s="242" t="s">
        <v>152</v>
      </c>
      <c r="B39" s="243">
        <v>24</v>
      </c>
      <c r="C39" s="351">
        <f t="shared" si="21"/>
        <v>0</v>
      </c>
      <c r="D39" s="244"/>
      <c r="E39" s="238" t="s">
        <v>154</v>
      </c>
      <c r="F39" s="245">
        <v>24</v>
      </c>
      <c r="G39" s="351">
        <f>IF(E39=0,0,' Horaires hors période scolaire'!$N9)</f>
        <v>0</v>
      </c>
      <c r="H39" s="244"/>
      <c r="I39" s="238" t="s">
        <v>148</v>
      </c>
      <c r="J39" s="246">
        <v>24</v>
      </c>
      <c r="K39" s="351">
        <f t="shared" si="24"/>
        <v>0</v>
      </c>
      <c r="L39" s="244"/>
      <c r="M39" s="238" t="s">
        <v>152</v>
      </c>
      <c r="N39" s="245">
        <v>24</v>
      </c>
      <c r="O39" s="351">
        <f>IF(M39=0,0,' Horaires hors période scolaire'!$N7)</f>
        <v>0</v>
      </c>
      <c r="P39" s="244"/>
      <c r="Q39" s="238" t="s">
        <v>155</v>
      </c>
      <c r="R39" s="246">
        <v>24</v>
      </c>
      <c r="S39" s="355"/>
      <c r="T39" s="249">
        <f>SUM(S33:S38)</f>
        <v>0</v>
      </c>
      <c r="U39" s="238" t="s">
        <v>151</v>
      </c>
      <c r="V39" s="245">
        <v>24</v>
      </c>
      <c r="W39" s="351">
        <f>IF(U39=0,0,' Horaires hors période scolaire'!$N6)</f>
        <v>0</v>
      </c>
      <c r="X39" s="244"/>
      <c r="Y39" s="238" t="s">
        <v>151</v>
      </c>
      <c r="Z39" s="246">
        <v>24</v>
      </c>
      <c r="AA39" s="351">
        <f t="shared" si="23"/>
        <v>0</v>
      </c>
      <c r="AB39" s="247"/>
      <c r="AC39" s="238" t="s">
        <v>154</v>
      </c>
      <c r="AD39" s="245">
        <v>24</v>
      </c>
      <c r="AE39" s="351">
        <f>IF(AC39=0,0,' Horaires hors période scolaire'!$N9)</f>
        <v>0</v>
      </c>
      <c r="AF39" s="244"/>
      <c r="AG39" s="238" t="s">
        <v>170</v>
      </c>
      <c r="AH39" s="243">
        <v>24</v>
      </c>
      <c r="AI39" s="353"/>
      <c r="AJ39" s="232"/>
      <c r="AK39" s="238" t="s">
        <v>152</v>
      </c>
      <c r="AL39" s="246">
        <v>24</v>
      </c>
      <c r="AM39" s="351">
        <f t="shared" si="22"/>
        <v>0</v>
      </c>
      <c r="AN39" s="244"/>
      <c r="AO39" s="238" t="s">
        <v>154</v>
      </c>
      <c r="AP39" s="245">
        <v>24</v>
      </c>
      <c r="AQ39" s="351">
        <f>IF(AO39=0,0,' Horaires hors période scolaire'!$N9)</f>
        <v>0</v>
      </c>
      <c r="AR39" s="244"/>
      <c r="AS39" s="238" t="s">
        <v>148</v>
      </c>
      <c r="AT39" s="245">
        <v>24</v>
      </c>
      <c r="AU39" s="351">
        <f>IF(AS39=0,0,' Horaires hors période scolaire'!$N5)</f>
        <v>0</v>
      </c>
      <c r="AV39" s="244"/>
    </row>
    <row r="40" spans="1:58" s="189" customFormat="1" ht="10.7" customHeight="1" thickBot="1">
      <c r="A40" s="242" t="s">
        <v>153</v>
      </c>
      <c r="B40" s="243">
        <v>25</v>
      </c>
      <c r="C40" s="351">
        <f t="shared" si="21"/>
        <v>0</v>
      </c>
      <c r="D40" s="244"/>
      <c r="E40" s="238" t="s">
        <v>155</v>
      </c>
      <c r="F40" s="245">
        <v>25</v>
      </c>
      <c r="G40" s="351">
        <f>IF(E40=0,0,' Horaires hors période scolaire'!$N10)</f>
        <v>0</v>
      </c>
      <c r="H40" s="249">
        <f>SUM(G35:G40)</f>
        <v>0</v>
      </c>
      <c r="I40" s="238" t="s">
        <v>151</v>
      </c>
      <c r="J40" s="246">
        <v>25</v>
      </c>
      <c r="K40" s="351">
        <f t="shared" si="24"/>
        <v>0</v>
      </c>
      <c r="L40" s="244"/>
      <c r="M40" s="238" t="s">
        <v>153</v>
      </c>
      <c r="N40" s="253">
        <v>25</v>
      </c>
      <c r="O40" s="254"/>
      <c r="P40" s="364" t="s">
        <v>197</v>
      </c>
      <c r="Q40" s="238" t="s">
        <v>170</v>
      </c>
      <c r="R40" s="246">
        <v>25</v>
      </c>
      <c r="S40" s="350">
        <f t="shared" ref="S40:S45" si="25">IF(Q40=0,0,$AM7)</f>
        <v>0</v>
      </c>
      <c r="T40" s="232"/>
      <c r="U40" s="238" t="s">
        <v>152</v>
      </c>
      <c r="V40" s="245">
        <v>25</v>
      </c>
      <c r="W40" s="351">
        <f>IF(U40=0,0,' Horaires hors période scolaire'!$N7)</f>
        <v>0</v>
      </c>
      <c r="X40" s="244"/>
      <c r="Y40" s="238" t="s">
        <v>152</v>
      </c>
      <c r="Z40" s="246">
        <v>25</v>
      </c>
      <c r="AA40" s="351">
        <f t="shared" si="23"/>
        <v>0</v>
      </c>
      <c r="AB40" s="247"/>
      <c r="AC40" s="238" t="s">
        <v>155</v>
      </c>
      <c r="AD40" s="245">
        <v>25</v>
      </c>
      <c r="AE40" s="351">
        <f>IF(AC40=0,0,' Horaires hors période scolaire'!$N10)</f>
        <v>0</v>
      </c>
      <c r="AF40" s="249">
        <f>SUM(AE35:AE40)</f>
        <v>0</v>
      </c>
      <c r="AG40" s="238" t="s">
        <v>148</v>
      </c>
      <c r="AH40" s="243">
        <v>25</v>
      </c>
      <c r="AI40" s="363">
        <f>IF(AG40=0,0,$AM8)</f>
        <v>0</v>
      </c>
      <c r="AJ40" s="364" t="s">
        <v>198</v>
      </c>
      <c r="AK40" s="238" t="s">
        <v>153</v>
      </c>
      <c r="AL40" s="246">
        <v>25</v>
      </c>
      <c r="AM40" s="351">
        <f t="shared" si="22"/>
        <v>0</v>
      </c>
      <c r="AN40" s="244"/>
      <c r="AO40" s="238" t="s">
        <v>155</v>
      </c>
      <c r="AP40" s="245">
        <v>25</v>
      </c>
      <c r="AQ40" s="351">
        <f>IF(AO40=0,0,' Horaires hors période scolaire'!$N10)</f>
        <v>0</v>
      </c>
      <c r="AR40" s="249">
        <f>SUM(AQ35:AQ40)</f>
        <v>0</v>
      </c>
      <c r="AS40" s="238" t="s">
        <v>151</v>
      </c>
      <c r="AT40" s="245">
        <v>25</v>
      </c>
      <c r="AU40" s="351">
        <f>IF(AS40=0,0,' Horaires hors période scolaire'!$N6)</f>
        <v>0</v>
      </c>
      <c r="AV40" s="244"/>
    </row>
    <row r="41" spans="1:58" s="189" customFormat="1" ht="10.7" customHeight="1">
      <c r="A41" s="242" t="s">
        <v>154</v>
      </c>
      <c r="B41" s="243">
        <v>26</v>
      </c>
      <c r="C41" s="351">
        <f t="shared" si="21"/>
        <v>0</v>
      </c>
      <c r="D41" s="244"/>
      <c r="E41" s="238" t="s">
        <v>170</v>
      </c>
      <c r="F41" s="245">
        <v>26</v>
      </c>
      <c r="G41" s="359"/>
      <c r="H41" s="232"/>
      <c r="I41" s="238" t="s">
        <v>152</v>
      </c>
      <c r="J41" s="246">
        <v>26</v>
      </c>
      <c r="K41" s="351">
        <f t="shared" si="24"/>
        <v>0</v>
      </c>
      <c r="L41" s="244"/>
      <c r="M41" s="238" t="s">
        <v>154</v>
      </c>
      <c r="N41" s="245">
        <v>26</v>
      </c>
      <c r="O41" s="351">
        <f>IF(M41=0,0,' Horaires hors période scolaire'!$N9)</f>
        <v>0</v>
      </c>
      <c r="P41" s="244"/>
      <c r="Q41" s="238" t="s">
        <v>148</v>
      </c>
      <c r="R41" s="246">
        <v>26</v>
      </c>
      <c r="S41" s="351">
        <f t="shared" si="25"/>
        <v>0</v>
      </c>
      <c r="T41" s="244"/>
      <c r="U41" s="238" t="s">
        <v>153</v>
      </c>
      <c r="V41" s="245">
        <v>26</v>
      </c>
      <c r="W41" s="351">
        <f>IF(U41=0,0,' Horaires hors période scolaire'!$N8)</f>
        <v>0</v>
      </c>
      <c r="X41" s="244"/>
      <c r="Y41" s="238" t="s">
        <v>153</v>
      </c>
      <c r="Z41" s="246">
        <v>26</v>
      </c>
      <c r="AA41" s="351">
        <f t="shared" si="23"/>
        <v>0</v>
      </c>
      <c r="AB41" s="247"/>
      <c r="AC41" s="238" t="s">
        <v>170</v>
      </c>
      <c r="AD41" s="245">
        <v>26</v>
      </c>
      <c r="AE41" s="353">
        <f>IF(AC41=0,0,$AM7)</f>
        <v>0</v>
      </c>
      <c r="AF41" s="232"/>
      <c r="AG41" s="238" t="s">
        <v>151</v>
      </c>
      <c r="AH41" s="243">
        <v>26</v>
      </c>
      <c r="AI41" s="351">
        <f>IF(AG41=0,0,$AM9)</f>
        <v>0</v>
      </c>
      <c r="AJ41" s="244"/>
      <c r="AK41" s="238" t="s">
        <v>154</v>
      </c>
      <c r="AL41" s="246">
        <v>26</v>
      </c>
      <c r="AM41" s="351">
        <f t="shared" si="22"/>
        <v>0</v>
      </c>
      <c r="AN41" s="244"/>
      <c r="AO41" s="238" t="s">
        <v>170</v>
      </c>
      <c r="AP41" s="245">
        <v>26</v>
      </c>
      <c r="AQ41" s="359"/>
      <c r="AR41" s="232"/>
      <c r="AS41" s="238" t="s">
        <v>152</v>
      </c>
      <c r="AT41" s="245">
        <v>26</v>
      </c>
      <c r="AU41" s="351">
        <f>IF(AS41=0,0,' Horaires hors période scolaire'!$N7)</f>
        <v>0</v>
      </c>
      <c r="AV41" s="244"/>
      <c r="AY41" s="241"/>
    </row>
    <row r="42" spans="1:58" s="189" customFormat="1" ht="10.7" customHeight="1" thickBot="1">
      <c r="A42" s="242" t="s">
        <v>155</v>
      </c>
      <c r="B42" s="243">
        <v>27</v>
      </c>
      <c r="C42" s="355"/>
      <c r="D42" s="249">
        <f>SUM(C36:C41)</f>
        <v>0</v>
      </c>
      <c r="E42" s="238" t="s">
        <v>148</v>
      </c>
      <c r="F42" s="245">
        <v>27</v>
      </c>
      <c r="G42" s="351">
        <f>IF(E42=0,0,' Horaires hors période scolaire'!$N5)</f>
        <v>0</v>
      </c>
      <c r="H42" s="244"/>
      <c r="I42" s="238" t="s">
        <v>153</v>
      </c>
      <c r="J42" s="246">
        <v>27</v>
      </c>
      <c r="K42" s="351">
        <f t="shared" si="24"/>
        <v>0</v>
      </c>
      <c r="L42" s="244"/>
      <c r="M42" s="238" t="s">
        <v>155</v>
      </c>
      <c r="N42" s="245">
        <v>27</v>
      </c>
      <c r="O42" s="351">
        <f>IF(M42=0,0,' Horaires hors période scolaire'!$N10)</f>
        <v>0</v>
      </c>
      <c r="P42" s="249">
        <f>SUM(O37:O42)</f>
        <v>0</v>
      </c>
      <c r="Q42" s="238" t="s">
        <v>151</v>
      </c>
      <c r="R42" s="246">
        <v>27</v>
      </c>
      <c r="S42" s="351">
        <f t="shared" si="25"/>
        <v>0</v>
      </c>
      <c r="T42" s="244"/>
      <c r="U42" s="238" t="s">
        <v>154</v>
      </c>
      <c r="V42" s="245">
        <v>27</v>
      </c>
      <c r="W42" s="351">
        <f>IF(U42=0,0,' Horaires hors période scolaire'!$N9)</f>
        <v>0</v>
      </c>
      <c r="X42" s="244"/>
      <c r="Y42" s="238" t="s">
        <v>154</v>
      </c>
      <c r="Z42" s="246">
        <v>27</v>
      </c>
      <c r="AA42" s="351">
        <f t="shared" si="23"/>
        <v>0</v>
      </c>
      <c r="AB42" s="247"/>
      <c r="AC42" s="238" t="s">
        <v>148</v>
      </c>
      <c r="AD42" s="243">
        <v>27</v>
      </c>
      <c r="AE42" s="354">
        <f>IF(AC42=0,0,$AM8)</f>
        <v>0</v>
      </c>
      <c r="AF42" s="244"/>
      <c r="AG42" s="238" t="s">
        <v>152</v>
      </c>
      <c r="AH42" s="243">
        <v>27</v>
      </c>
      <c r="AI42" s="351">
        <f>IF(AG42=0,0,$AM10)</f>
        <v>0</v>
      </c>
      <c r="AJ42" s="244"/>
      <c r="AK42" s="238" t="s">
        <v>155</v>
      </c>
      <c r="AL42" s="246">
        <v>27</v>
      </c>
      <c r="AM42" s="355"/>
      <c r="AN42" s="249">
        <f>SUM(AM36:AM41)</f>
        <v>0</v>
      </c>
      <c r="AO42" s="238" t="s">
        <v>148</v>
      </c>
      <c r="AP42" s="245">
        <v>27</v>
      </c>
      <c r="AQ42" s="351">
        <f>IF(AO42=0,0,' Horaires hors période scolaire'!$N5)</f>
        <v>0</v>
      </c>
      <c r="AR42" s="244"/>
      <c r="AS42" s="238" t="s">
        <v>153</v>
      </c>
      <c r="AT42" s="245">
        <v>27</v>
      </c>
      <c r="AU42" s="351">
        <f>IF(AS42=0,0,' Horaires hors période scolaire'!$N8)</f>
        <v>0</v>
      </c>
      <c r="AV42" s="244"/>
      <c r="AY42" s="241"/>
    </row>
    <row r="43" spans="1:58" s="189" customFormat="1" ht="10.7" customHeight="1" thickBot="1">
      <c r="A43" s="242" t="s">
        <v>170</v>
      </c>
      <c r="B43" s="243">
        <v>28</v>
      </c>
      <c r="C43" s="350">
        <f>IF(A43=0,0,$AM7)</f>
        <v>0</v>
      </c>
      <c r="D43" s="232"/>
      <c r="E43" s="238" t="s">
        <v>151</v>
      </c>
      <c r="F43" s="245">
        <v>28</v>
      </c>
      <c r="G43" s="351">
        <f>IF(E43=0,0,' Horaires hors période scolaire'!$N6)</f>
        <v>0</v>
      </c>
      <c r="H43" s="244"/>
      <c r="I43" s="238" t="s">
        <v>154</v>
      </c>
      <c r="J43" s="246">
        <v>28</v>
      </c>
      <c r="K43" s="351">
        <f t="shared" si="24"/>
        <v>0</v>
      </c>
      <c r="L43" s="244"/>
      <c r="M43" s="238" t="s">
        <v>170</v>
      </c>
      <c r="N43" s="245">
        <v>28</v>
      </c>
      <c r="O43" s="350"/>
      <c r="P43" s="232"/>
      <c r="Q43" s="238" t="s">
        <v>152</v>
      </c>
      <c r="R43" s="246">
        <v>28</v>
      </c>
      <c r="S43" s="351">
        <f t="shared" si="25"/>
        <v>0</v>
      </c>
      <c r="T43" s="244"/>
      <c r="U43" s="238" t="s">
        <v>155</v>
      </c>
      <c r="V43" s="245">
        <v>28</v>
      </c>
      <c r="W43" s="351">
        <f>IF(U43=0,0,' Horaires hors période scolaire'!$N10)</f>
        <v>0</v>
      </c>
      <c r="X43" s="249">
        <f>SUM(W38:W43)</f>
        <v>0</v>
      </c>
      <c r="Y43" s="238" t="s">
        <v>155</v>
      </c>
      <c r="Z43" s="246">
        <v>28</v>
      </c>
      <c r="AA43" s="355"/>
      <c r="AB43" s="249">
        <f>SUM(AA37:AA42)</f>
        <v>0</v>
      </c>
      <c r="AC43" s="238" t="s">
        <v>151</v>
      </c>
      <c r="AD43" s="243">
        <v>28</v>
      </c>
      <c r="AE43" s="354">
        <f>IF(AC43=0,0,$AM9)</f>
        <v>0</v>
      </c>
      <c r="AF43" s="244"/>
      <c r="AG43" s="238" t="s">
        <v>153</v>
      </c>
      <c r="AH43" s="243">
        <v>28</v>
      </c>
      <c r="AI43" s="351">
        <f>IF(AG43=0,0,$AM11)</f>
        <v>0</v>
      </c>
      <c r="AJ43" s="244"/>
      <c r="AK43" s="238" t="s">
        <v>170</v>
      </c>
      <c r="AL43" s="246">
        <v>28</v>
      </c>
      <c r="AM43" s="350">
        <f>IF(AK43=0,0,$AM7)</f>
        <v>0</v>
      </c>
      <c r="AN43" s="232"/>
      <c r="AO43" s="238" t="s">
        <v>151</v>
      </c>
      <c r="AP43" s="245">
        <v>28</v>
      </c>
      <c r="AQ43" s="351">
        <f>IF(AO43=0,0,' Horaires hors période scolaire'!$N6)</f>
        <v>0</v>
      </c>
      <c r="AR43" s="244"/>
      <c r="AS43" s="238" t="s">
        <v>154</v>
      </c>
      <c r="AT43" s="245">
        <v>28</v>
      </c>
      <c r="AU43" s="351">
        <f>IF(AS43=0,0,' Horaires hors période scolaire'!$N9)</f>
        <v>0</v>
      </c>
      <c r="AV43" s="244"/>
      <c r="AY43" s="241"/>
    </row>
    <row r="44" spans="1:58" s="189" customFormat="1" ht="10.7" customHeight="1" thickBot="1">
      <c r="A44" s="242" t="s">
        <v>148</v>
      </c>
      <c r="B44" s="243">
        <v>29</v>
      </c>
      <c r="C44" s="351">
        <f>IF(A44=0,0,$AM8)</f>
        <v>0</v>
      </c>
      <c r="D44" s="244"/>
      <c r="E44" s="238" t="s">
        <v>152</v>
      </c>
      <c r="F44" s="245">
        <v>29</v>
      </c>
      <c r="G44" s="351">
        <f>IF(E44=0,0,' Horaires hors période scolaire'!$N7)</f>
        <v>0</v>
      </c>
      <c r="H44" s="244"/>
      <c r="I44" s="238" t="s">
        <v>155</v>
      </c>
      <c r="J44" s="246">
        <v>29</v>
      </c>
      <c r="K44" s="355"/>
      <c r="L44" s="249">
        <f>SUM(K38:K43)</f>
        <v>0</v>
      </c>
      <c r="M44" s="238" t="s">
        <v>148</v>
      </c>
      <c r="N44" s="245">
        <v>29</v>
      </c>
      <c r="O44" s="351">
        <f>IF(M44=0,0,' Horaires hors période scolaire'!$N5)</f>
        <v>0</v>
      </c>
      <c r="P44" s="244"/>
      <c r="Q44" s="238" t="s">
        <v>153</v>
      </c>
      <c r="R44" s="246">
        <v>29</v>
      </c>
      <c r="S44" s="351">
        <f t="shared" si="25"/>
        <v>0</v>
      </c>
      <c r="T44" s="244"/>
      <c r="U44" s="238"/>
      <c r="V44" s="258"/>
      <c r="W44" s="350"/>
      <c r="X44" s="232"/>
      <c r="Y44" s="238" t="s">
        <v>170</v>
      </c>
      <c r="Z44" s="246">
        <v>29</v>
      </c>
      <c r="AA44" s="350">
        <f>IF(Y44=0,0,$AM7)</f>
        <v>0</v>
      </c>
      <c r="AB44" s="239"/>
      <c r="AC44" s="238" t="s">
        <v>152</v>
      </c>
      <c r="AD44" s="243">
        <v>29</v>
      </c>
      <c r="AE44" s="354">
        <f>IF(AC44=0,0,$AM10)</f>
        <v>0</v>
      </c>
      <c r="AF44" s="244"/>
      <c r="AG44" s="238" t="s">
        <v>154</v>
      </c>
      <c r="AH44" s="243">
        <v>29</v>
      </c>
      <c r="AI44" s="351">
        <f>IF(AG44=0,0,$AM12)</f>
        <v>0</v>
      </c>
      <c r="AJ44" s="244"/>
      <c r="AK44" s="238" t="s">
        <v>148</v>
      </c>
      <c r="AL44" s="246">
        <v>29</v>
      </c>
      <c r="AM44" s="351">
        <f>IF(AK44=0,0,$AM8)</f>
        <v>0</v>
      </c>
      <c r="AN44" s="244"/>
      <c r="AO44" s="238" t="s">
        <v>152</v>
      </c>
      <c r="AP44" s="245">
        <v>29</v>
      </c>
      <c r="AQ44" s="351">
        <f>IF(AO44=0,0,' Horaires hors période scolaire'!$N7)</f>
        <v>0</v>
      </c>
      <c r="AR44" s="244"/>
      <c r="AS44" s="238" t="s">
        <v>155</v>
      </c>
      <c r="AT44" s="245">
        <v>29</v>
      </c>
      <c r="AU44" s="351">
        <f>IF(AS44=0,0,' Horaires hors période scolaire'!$N10)</f>
        <v>0</v>
      </c>
      <c r="AV44" s="249">
        <f>SUM(AU39:AU44)</f>
        <v>0</v>
      </c>
      <c r="AY44" s="241"/>
    </row>
    <row r="45" spans="1:58" s="189" customFormat="1" ht="10.7" customHeight="1" thickBot="1">
      <c r="A45" s="242" t="s">
        <v>151</v>
      </c>
      <c r="B45" s="243">
        <v>30</v>
      </c>
      <c r="C45" s="351">
        <f>IF(A45=0,0,$AM9)</f>
        <v>0</v>
      </c>
      <c r="D45" s="244"/>
      <c r="E45" s="238" t="s">
        <v>153</v>
      </c>
      <c r="F45" s="245">
        <v>30</v>
      </c>
      <c r="G45" s="351">
        <f>IF(E45=0,0,' Horaires hors période scolaire'!$N8)</f>
        <v>0</v>
      </c>
      <c r="H45" s="259"/>
      <c r="I45" s="238" t="s">
        <v>170</v>
      </c>
      <c r="J45" s="246">
        <v>30</v>
      </c>
      <c r="K45" s="353">
        <f>IF(I45=0,0,$AM7)</f>
        <v>0</v>
      </c>
      <c r="L45" s="232"/>
      <c r="M45" s="238" t="s">
        <v>151</v>
      </c>
      <c r="N45" s="245">
        <v>30</v>
      </c>
      <c r="O45" s="351">
        <f>IF(M45=0,0,' Horaires hors période scolaire'!$N6)</f>
        <v>0</v>
      </c>
      <c r="P45" s="244"/>
      <c r="Q45" s="238" t="s">
        <v>154</v>
      </c>
      <c r="R45" s="246">
        <v>30</v>
      </c>
      <c r="S45" s="351">
        <f t="shared" si="25"/>
        <v>0</v>
      </c>
      <c r="T45" s="244"/>
      <c r="U45" s="238"/>
      <c r="V45" s="258"/>
      <c r="W45" s="351"/>
      <c r="X45" s="244"/>
      <c r="Y45" s="238" t="s">
        <v>148</v>
      </c>
      <c r="Z45" s="246">
        <v>30</v>
      </c>
      <c r="AA45" s="351">
        <f>IF(Y45=0,0,$AM8)</f>
        <v>0</v>
      </c>
      <c r="AB45" s="247"/>
      <c r="AC45" s="238" t="s">
        <v>153</v>
      </c>
      <c r="AD45" s="243">
        <v>30</v>
      </c>
      <c r="AE45" s="354">
        <f>IF(AC45=0,0,$AM11)</f>
        <v>0</v>
      </c>
      <c r="AF45" s="244"/>
      <c r="AG45" s="238" t="s">
        <v>155</v>
      </c>
      <c r="AH45" s="243">
        <v>30</v>
      </c>
      <c r="AI45" s="355"/>
      <c r="AJ45" s="249">
        <f>SUM(AI39:AI44)</f>
        <v>0</v>
      </c>
      <c r="AK45" s="238" t="s">
        <v>151</v>
      </c>
      <c r="AL45" s="246">
        <v>30</v>
      </c>
      <c r="AM45" s="351">
        <f>IF(AK45=0,0,$AM9)</f>
        <v>0</v>
      </c>
      <c r="AN45" s="244"/>
      <c r="AO45" s="238" t="s">
        <v>153</v>
      </c>
      <c r="AP45" s="245">
        <v>30</v>
      </c>
      <c r="AQ45" s="351">
        <f>IF(AO45=0,0,' Horaires hors période scolaire'!$N8)</f>
        <v>0</v>
      </c>
      <c r="AR45" s="244"/>
      <c r="AS45" s="238" t="s">
        <v>170</v>
      </c>
      <c r="AT45" s="245">
        <v>30</v>
      </c>
      <c r="AU45" s="359"/>
      <c r="AV45" s="232"/>
      <c r="AY45" s="241"/>
      <c r="AZ45" s="520"/>
      <c r="BA45" s="520"/>
      <c r="BB45" s="520"/>
      <c r="BC45" s="520"/>
      <c r="BD45" s="520"/>
      <c r="BE45" s="520"/>
      <c r="BF45" s="521"/>
    </row>
    <row r="46" spans="1:58" s="189" customFormat="1" ht="10.7" customHeight="1" thickBot="1">
      <c r="A46" s="260"/>
      <c r="B46" s="261"/>
      <c r="C46" s="351"/>
      <c r="D46" s="259"/>
      <c r="E46" s="262" t="s">
        <v>154</v>
      </c>
      <c r="F46" s="263">
        <v>31</v>
      </c>
      <c r="G46" s="351">
        <f>IF(E46=0,0,' Horaires hors période scolaire'!$N9)</f>
        <v>0</v>
      </c>
      <c r="H46" s="264"/>
      <c r="I46" s="262"/>
      <c r="J46" s="265"/>
      <c r="K46" s="250"/>
      <c r="L46" s="264"/>
      <c r="M46" s="262" t="s">
        <v>152</v>
      </c>
      <c r="N46" s="263">
        <v>31</v>
      </c>
      <c r="O46" s="351">
        <f>IF(M46=0,0,' Horaires hors période scolaire'!$N7)</f>
        <v>0</v>
      </c>
      <c r="P46" s="244"/>
      <c r="Q46" s="262" t="s">
        <v>155</v>
      </c>
      <c r="R46" s="266">
        <v>31</v>
      </c>
      <c r="S46" s="352"/>
      <c r="T46" s="252">
        <f>SUM(S40:S45)</f>
        <v>0</v>
      </c>
      <c r="U46" s="262"/>
      <c r="V46" s="265"/>
      <c r="W46" s="351"/>
      <c r="X46" s="244"/>
      <c r="Y46" s="262" t="s">
        <v>151</v>
      </c>
      <c r="Z46" s="266">
        <v>31</v>
      </c>
      <c r="AA46" s="351">
        <f>IF(Y46=0,0,$AM9)</f>
        <v>0</v>
      </c>
      <c r="AB46" s="247"/>
      <c r="AC46" s="267"/>
      <c r="AD46" s="265"/>
      <c r="AE46" s="351"/>
      <c r="AF46" s="259"/>
      <c r="AG46" s="262" t="s">
        <v>170</v>
      </c>
      <c r="AH46" s="261">
        <v>31</v>
      </c>
      <c r="AI46" s="353">
        <f>IF(AG46=0,0,$AM7)</f>
        <v>0</v>
      </c>
      <c r="AJ46" s="232"/>
      <c r="AK46" s="262"/>
      <c r="AL46" s="268"/>
      <c r="AM46" s="351">
        <f>IF(AK46=0,0,$S12)</f>
        <v>0</v>
      </c>
      <c r="AN46" s="259"/>
      <c r="AO46" s="262" t="s">
        <v>154</v>
      </c>
      <c r="AP46" s="263">
        <v>31</v>
      </c>
      <c r="AQ46" s="351">
        <f>IF(AO46=0,0,' Horaires hors période scolaire'!$N9)</f>
        <v>0</v>
      </c>
      <c r="AR46" s="259"/>
      <c r="AS46" s="262" t="s">
        <v>148</v>
      </c>
      <c r="AT46" s="263">
        <v>31</v>
      </c>
      <c r="AU46" s="351">
        <f>IF(AS46=0,0,' Horaires hors période scolaire'!$N5)</f>
        <v>0</v>
      </c>
      <c r="AV46" s="244"/>
      <c r="AY46" s="241"/>
    </row>
    <row r="47" spans="1:58" s="272" customFormat="1" thickBot="1">
      <c r="A47" s="269" t="s">
        <v>199</v>
      </c>
      <c r="B47" s="270"/>
      <c r="C47" s="522">
        <f>SUM(C16:C20,C22:C27,C29:C34,C36:C41,C43:C45)</f>
        <v>0</v>
      </c>
      <c r="D47" s="523"/>
      <c r="E47" s="271"/>
      <c r="F47" s="271"/>
      <c r="G47" s="522">
        <f>SUM(G16:G18,G20:G25,G27:G32,G35:G40,G42:G46)</f>
        <v>0</v>
      </c>
      <c r="H47" s="523"/>
      <c r="I47" s="271"/>
      <c r="J47" s="271"/>
      <c r="K47" s="522">
        <f>SUM(K16:K22,K24:K29,K31:K36,K38:K43,K45)</f>
        <v>0</v>
      </c>
      <c r="L47" s="523"/>
      <c r="M47" s="271"/>
      <c r="N47" s="271"/>
      <c r="O47" s="522">
        <f>SUM(O16:O20,O22:O27,O29:O34,O37:O42,O44:O46)</f>
        <v>0</v>
      </c>
      <c r="P47" s="523"/>
      <c r="Q47" s="271"/>
      <c r="R47" s="271"/>
      <c r="S47" s="522">
        <f>SUM(S16:S18,S19:S24,S26:S31,S33:S38,S40:S45)</f>
        <v>0</v>
      </c>
      <c r="T47" s="523"/>
      <c r="U47" s="271"/>
      <c r="V47" s="271"/>
      <c r="W47" s="522">
        <f>SUM(W16:W21,W23:W28,W31:W36,W38:W43)</f>
        <v>0</v>
      </c>
      <c r="X47" s="523"/>
      <c r="Y47" s="271"/>
      <c r="Z47" s="271"/>
      <c r="AA47" s="522">
        <f>SUM(AA16:AA21,AA23:AA28,AA30:AA35,AA37:AA42,AA44:AA46)</f>
        <v>0</v>
      </c>
      <c r="AB47" s="523"/>
      <c r="AC47" s="271"/>
      <c r="AD47" s="271"/>
      <c r="AE47" s="522">
        <f>SUM(AE16:AE18,AE20:AE25,AE28:AE33,AE35:AE40,AE41:AE45)</f>
        <v>0</v>
      </c>
      <c r="AF47" s="523"/>
      <c r="AG47" s="271"/>
      <c r="AH47" s="271"/>
      <c r="AI47" s="522">
        <f>SUM(AI16,AI18:AI23,AI25:AI30,AI32:AI37,AI39:AI44,AI46)</f>
        <v>0</v>
      </c>
      <c r="AJ47" s="523"/>
      <c r="AK47" s="271"/>
      <c r="AL47" s="271"/>
      <c r="AM47" s="522">
        <f>SUM(AM16:AM20,AM22:AM27,AM29:AM34,AM36:AM41,AM43:AM45)</f>
        <v>0</v>
      </c>
      <c r="AN47" s="523"/>
      <c r="AO47" s="271"/>
      <c r="AP47" s="271"/>
      <c r="AQ47" s="522">
        <f>SUM(AQ16:AQ18,AQ21:AQ26,AQ28:AQ33,AQ35:AQ40,AQ42:AQ46)</f>
        <v>0</v>
      </c>
      <c r="AR47" s="523"/>
      <c r="AS47" s="271"/>
      <c r="AT47" s="271"/>
      <c r="AU47" s="522">
        <f>SUM(AU18:AU23,AU25:AU30,AU32:AU37,AU39:AU44,AU46,AU16)</f>
        <v>0</v>
      </c>
      <c r="AV47" s="523"/>
      <c r="AY47" s="360"/>
    </row>
    <row r="48" spans="1:58" s="272" customFormat="1" thickBot="1">
      <c r="A48" s="273" t="s">
        <v>200</v>
      </c>
      <c r="B48" s="403"/>
      <c r="C48" s="524">
        <f>COUNTIF(C16:C20,"RC")+COUNTIF(C22:C27,"RC")+COUNTIF(C29:C34,"RC")+COUNTIF(C36:C41,"RC")+COUNTIF(C43:C45,"RC")</f>
        <v>0</v>
      </c>
      <c r="D48" s="525"/>
      <c r="E48" s="271"/>
      <c r="F48" s="271"/>
      <c r="G48" s="524">
        <f>COUNTIF(G16:G19,"CP")+COUNTIF(G21:G26,"CP")+COUNTIF(G28:G33,"CP")+COUNTIF(G35:G40,"CP")+COUNTIF(G42:G46,"CP")</f>
        <v>0</v>
      </c>
      <c r="H48" s="525"/>
      <c r="I48" s="271"/>
      <c r="J48" s="271"/>
      <c r="K48" s="524">
        <f>COUNTIF(K18:K23,"CP")+COUNTIF(K25,"CP")+COUNTIF(K27:K30,"CP")+COUNTIF(K32:K37,"CP")+COUNTIF(K39:K44,"CP")</f>
        <v>0</v>
      </c>
      <c r="L48" s="525"/>
      <c r="M48" s="271"/>
      <c r="N48" s="271"/>
      <c r="O48" s="524">
        <f>COUNTIF(O16:O21,"CP")+COUNTIF(O23:O28,"CP")+COUNTIF(O30:O35,"CP")+COUNTIF(O37:O39,"CP")+COUNTIF(O41:O42,"CP")+COUNTIF(O44:O46,"CP")</f>
        <v>0</v>
      </c>
      <c r="P48" s="525"/>
      <c r="Q48" s="271"/>
      <c r="R48" s="271"/>
      <c r="S48" s="524">
        <f>COUNTIF(S17:S18,"CP")+COUNTIF(S20:S25,"CP")+COUNTIF(S27:S32,"CP")+COUNTIF(S34:S39,"CP")+COUNTIF(S41:S46,"CP")</f>
        <v>0</v>
      </c>
      <c r="T48" s="525"/>
      <c r="U48" s="271"/>
      <c r="V48" s="271"/>
      <c r="W48" s="524">
        <f>COUNTIF(W17:W22,"CP")+COUNTIF(W24:W29,"CP")+COUNTIF(W31:W36,"CP")+COUNTIF(W38:W43,"CP")</f>
        <v>0</v>
      </c>
      <c r="X48" s="525"/>
      <c r="Y48" s="271"/>
      <c r="Z48" s="271"/>
      <c r="AA48" s="524">
        <f>COUNTIF(AA17:AA22,"CP")+COUNTIF(AA24:AA29,"CP")+COUNTIF(AA31:AA36,"CP")+COUNTIF(AA38:AA43,"CP")+COUNTIF(AA45:AA46,"CP")</f>
        <v>0</v>
      </c>
      <c r="AB48" s="525"/>
      <c r="AC48" s="271"/>
      <c r="AD48" s="271"/>
      <c r="AE48" s="524">
        <f>COUNTIF(AE16:AE19,"CP")+COUNTIF(AE22:AE26,"CP")+COUNTIF(AE28:AE33,"CP")+COUNTIF(AE35:AE40,"CP")+COUNTIF(AE42:AE45,"CP")</f>
        <v>0</v>
      </c>
      <c r="AF48" s="525"/>
      <c r="AG48" s="271"/>
      <c r="AH48" s="271"/>
      <c r="AI48" s="524">
        <f>COUNTIF(AI17,"CP")+COUNTIF(AI19:AI22,"CP")+COUNTIF(AI24,"CP")+COUNTIF(AI26:AI28,"CP")+COUNTIF(AI30:AI31,"CP")+COUNTIF(AI33:AI38,"CP")+COUNTIF(AI41:AI45,"CP")</f>
        <v>0</v>
      </c>
      <c r="AJ48" s="525"/>
      <c r="AK48" s="271"/>
      <c r="AL48" s="271"/>
      <c r="AM48" s="524">
        <f>COUNTIF(AM16:AM21,"CP")+COUNTIF(AM23:AM28,"CP")+COUNTIF(AM30:AM35,"CP")+COUNTIF(AM37:AM42,"CP")+COUNTIF(AM44:AM46,"CP")</f>
        <v>0</v>
      </c>
      <c r="AN48" s="525"/>
      <c r="AO48" s="271"/>
      <c r="AP48" s="271"/>
      <c r="AQ48" s="524">
        <f>COUNTIF(AQ16:AQ19,"CP")+COUNTIF(AQ21:AQ26,"CP")+COUNTIF(AQ28,"CP")+COUNTIF(AQ30:AQ33,"CP")+COUNTIF(AQ35:AQ40,"CP")+COUNTIF(AQ42:AQ46,"CP")</f>
        <v>0</v>
      </c>
      <c r="AR48" s="525"/>
      <c r="AS48" s="271"/>
      <c r="AT48" s="271"/>
      <c r="AU48" s="524">
        <f>COUNTIF(AU16,"CP")+COUNTIF(AU18:AU23,"CP")+COUNTIF(AU25:AU29,"CP")+COUNTIF(AU32:AU37,"CP")+COUNTIF(AU39:AU44,"CP")+COUNTIF(AU46,"CP")</f>
        <v>0</v>
      </c>
      <c r="AV48" s="525"/>
      <c r="AY48" s="360"/>
    </row>
    <row r="49" spans="1:51" s="272" customFormat="1" thickBot="1">
      <c r="A49" s="404" t="s">
        <v>201</v>
      </c>
      <c r="B49" s="405"/>
      <c r="C49" s="526">
        <f>COUNTIF(C16:C46,"0H")</f>
        <v>0</v>
      </c>
      <c r="D49" s="527"/>
      <c r="E49" s="271"/>
      <c r="F49" s="271"/>
      <c r="G49" s="526">
        <f>COUNTIF(G16:G46,"0H")</f>
        <v>0</v>
      </c>
      <c r="H49" s="527"/>
      <c r="I49" s="271"/>
      <c r="J49" s="271"/>
      <c r="K49" s="526">
        <f>COUNTIF(K16:K46,"0H")</f>
        <v>0</v>
      </c>
      <c r="L49" s="527"/>
      <c r="M49" s="271"/>
      <c r="N49" s="271"/>
      <c r="O49" s="526">
        <f>COUNTIF(O16:O46,"0H")</f>
        <v>0</v>
      </c>
      <c r="P49" s="527"/>
      <c r="Q49" s="271"/>
      <c r="R49" s="271"/>
      <c r="S49" s="526">
        <f>COUNTIF(S16:S46,"0H")</f>
        <v>0</v>
      </c>
      <c r="T49" s="527"/>
      <c r="U49" s="271"/>
      <c r="V49" s="271"/>
      <c r="W49" s="526">
        <f>COUNTIF(W16:W46,"0H")</f>
        <v>0</v>
      </c>
      <c r="X49" s="527"/>
      <c r="Y49" s="271"/>
      <c r="Z49" s="271"/>
      <c r="AA49" s="526">
        <f>COUNTIF(AA16:AA46,"0H")</f>
        <v>0</v>
      </c>
      <c r="AB49" s="527"/>
      <c r="AC49" s="271"/>
      <c r="AD49" s="271"/>
      <c r="AE49" s="526">
        <f>COUNTIF(AE16:AE46,"0H")</f>
        <v>0</v>
      </c>
      <c r="AF49" s="527"/>
      <c r="AG49" s="271"/>
      <c r="AH49" s="271"/>
      <c r="AI49" s="526">
        <f>COUNTIF(AI16:AI46,"0H")</f>
        <v>0</v>
      </c>
      <c r="AJ49" s="527"/>
      <c r="AK49" s="271"/>
      <c r="AL49" s="271"/>
      <c r="AM49" s="526">
        <f>COUNTIF(AM16:AM46,"0H")</f>
        <v>0</v>
      </c>
      <c r="AN49" s="527"/>
      <c r="AO49" s="271"/>
      <c r="AP49" s="271"/>
      <c r="AQ49" s="526">
        <f>COUNTIF(AQ16:AQ46,"0H")</f>
        <v>0</v>
      </c>
      <c r="AR49" s="527"/>
      <c r="AS49" s="271"/>
      <c r="AT49" s="271"/>
      <c r="AU49" s="526">
        <f>COUNTIF(AU16:AU46,"0H")</f>
        <v>0</v>
      </c>
      <c r="AV49" s="527"/>
      <c r="AY49" s="360"/>
    </row>
    <row r="50" spans="1:51" s="272" customFormat="1" thickBot="1">
      <c r="A50" s="586" t="s">
        <v>202</v>
      </c>
      <c r="B50" s="530"/>
      <c r="C50" s="529">
        <f>COUNTIF(C16:C20,"RC")+COUNTIF(C22:C27,"RC")+COUNTIF(C29:C34,"RC")+COUNTIF(C36:C41,"RC")+COUNTIF(C43:C45,"RC")</f>
        <v>0</v>
      </c>
      <c r="D50" s="530"/>
      <c r="E50" s="271"/>
      <c r="F50" s="271"/>
      <c r="G50" s="529">
        <f>COUNTIF(G16:G18,"RC")+COUNTIF(G20:G25,"RC")+COUNTIF(G27:G32,"RC")+COUNTIF(G34:G39,"RC")+COUNTIF(G41:G46,"RC")</f>
        <v>0</v>
      </c>
      <c r="H50" s="530"/>
      <c r="I50" s="271"/>
      <c r="J50" s="271"/>
      <c r="K50" s="529">
        <f>COUNTIF(K17:K22,"RC")+COUNTIF(K24:K25,"RC")+COUNTIF(K27:K29,"RC")+COUNTIF(K31:K36,"RC")+COUNTIF(K38:K43,"RC")+COUNTIF(K45,"RC")</f>
        <v>0</v>
      </c>
      <c r="L50" s="530"/>
      <c r="M50" s="271"/>
      <c r="N50" s="271"/>
      <c r="O50" s="529">
        <f>COUNTIF(O16:O20,"RC")+COUNTIF(O22:O27,"RC")+COUNTIF(O29:O34,"RC")+COUNTIF(O36:O39,"RC")+COUNTIF(O41,"RC")+COUNTIF(O43:O46,"RC")</f>
        <v>0</v>
      </c>
      <c r="P50" s="530"/>
      <c r="Q50" s="271"/>
      <c r="R50" s="271"/>
      <c r="S50" s="529">
        <f>COUNTIF(S17,"RC")+COUNTIF(S19:S24,"RC")+COUNTIF(S26:S31,"RC")+COUNTIF(S33:S38,"RC")+COUNTIF(S40:S45,"RC")</f>
        <v>0</v>
      </c>
      <c r="T50" s="530"/>
      <c r="U50" s="271"/>
      <c r="V50" s="271"/>
      <c r="W50" s="529">
        <f>COUNTIF(W16:W21,"RC")+COUNTIF(W23:W28,"RC")+COUNTIF(W30:W35,"RC")+COUNTIF(W37:W42,"RC")</f>
        <v>0</v>
      </c>
      <c r="X50" s="530"/>
      <c r="Y50" s="271"/>
      <c r="Z50" s="271"/>
      <c r="AA50" s="529">
        <f>COUNTIF(AA16:AA21,"RC")+COUNTIF(AA23:AA28,"RC")+COUNTIF(AA30:AA35,"RC")+COUNTIF(AA37:AA42,"RC")+COUNTIF(AA44:AA46,"RC")</f>
        <v>0</v>
      </c>
      <c r="AB50" s="530"/>
      <c r="AC50" s="271"/>
      <c r="AD50" s="271"/>
      <c r="AE50" s="529">
        <f>COUNTIF(AE16:AE18,"RC")+COUNTIF(AE20,"RC")+COUNTIF(AE22:AE25,"RC")+COUNTIF(AE27:AE32,"RC")+COUNTIF(AE34:AE39,"RC")+COUNTIF(AE41:AE45,"RC")</f>
        <v>0</v>
      </c>
      <c r="AF50" s="530"/>
      <c r="AG50" s="271"/>
      <c r="AH50" s="271"/>
      <c r="AI50" s="529">
        <f>COUNTIF(AI18:AI22,"RC")+COUNTIF(AI46,"RC")+COUNTIF(AI25:AI28,"RC")+COUNTIF(AI30,"RC")+COUNTIF(AI39,"RC")+COUNTIF(AI32:AI37,"RC")+COUNTIF(AI41:AI44,"RC")</f>
        <v>0</v>
      </c>
      <c r="AJ50" s="530"/>
      <c r="AK50" s="271"/>
      <c r="AL50" s="271"/>
      <c r="AM50" s="529">
        <f>COUNTIF(AM16:AM20,"RC")+COUNTIF(AM22:AM27,"RC")+COUNTIF(AM29:AM34,"RC")+COUNTIF(AM36:AM41,"RC")+COUNTIF(AM43:AM45,"RC")</f>
        <v>0</v>
      </c>
      <c r="AN50" s="530"/>
      <c r="AO50" s="271"/>
      <c r="AP50" s="271"/>
      <c r="AQ50" s="529">
        <f>COUNTIF(AQ16:AQ18,"RC")+COUNTIF(AQ20:AQ25,"RC")+COUNTIF(AQ27:AQ28,"RC")+COUNTIF(AQ30:AQ32,"RC")+COUNTIF(AQ34:AQ39,"RC")+COUNTIF(AQ41:AQ46,"RC")</f>
        <v>0</v>
      </c>
      <c r="AR50" s="530"/>
      <c r="AS50" s="271"/>
      <c r="AT50" s="271"/>
      <c r="AU50" s="529">
        <f>COUNTIF(AU45:AU46,"RC")+COUNTIF(AU17:AU22,"RC")+COUNTIF(AU24:AU29,"RC")+COUNTIF(AU31:AU36,"RC")+COUNTIF(AU38:AU43,"RC")</f>
        <v>0</v>
      </c>
      <c r="AV50" s="530"/>
      <c r="AY50" s="360"/>
    </row>
    <row r="51" spans="1:51" s="195" customFormat="1" ht="8.25" customHeight="1" thickBot="1">
      <c r="A51" s="274"/>
      <c r="B51" s="274"/>
      <c r="C51" s="275"/>
      <c r="D51" s="275"/>
      <c r="E51" s="276"/>
      <c r="F51" s="274"/>
      <c r="G51" s="275"/>
      <c r="H51" s="275"/>
      <c r="I51" s="276"/>
      <c r="J51" s="274"/>
      <c r="K51" s="275"/>
      <c r="L51" s="275"/>
      <c r="M51" s="276"/>
      <c r="N51" s="274"/>
      <c r="O51" s="275"/>
      <c r="P51" s="275"/>
      <c r="Q51" s="276"/>
      <c r="R51" s="274"/>
      <c r="S51" s="275"/>
      <c r="T51" s="275"/>
      <c r="U51" s="276"/>
      <c r="V51" s="274"/>
      <c r="W51" s="275"/>
      <c r="X51" s="275"/>
      <c r="Y51" s="276"/>
      <c r="Z51" s="274"/>
      <c r="AA51" s="275"/>
      <c r="AB51" s="276"/>
      <c r="AC51" s="276"/>
      <c r="AD51" s="274"/>
      <c r="AE51" s="275"/>
      <c r="AF51" s="275"/>
      <c r="AG51" s="276"/>
      <c r="AH51" s="274"/>
      <c r="AI51" s="275"/>
      <c r="AJ51" s="275"/>
      <c r="AK51" s="276"/>
      <c r="AL51" s="274"/>
      <c r="AM51" s="275"/>
      <c r="AN51" s="275"/>
      <c r="AO51" s="276"/>
      <c r="AP51" s="274"/>
      <c r="AQ51" s="275"/>
      <c r="AR51" s="275"/>
      <c r="AS51" s="276"/>
      <c r="AT51" s="274"/>
      <c r="AU51" s="275"/>
      <c r="AV51" s="275"/>
      <c r="AY51" s="361"/>
    </row>
    <row r="52" spans="1:51" ht="15.75" thickBot="1">
      <c r="A52" s="277" t="s">
        <v>203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8">
        <f>C48+G48+K48+O48+S48+W48+AA48+AE48+AI48+AM48+AQ48+AU48</f>
        <v>0</v>
      </c>
      <c r="L52" s="279"/>
      <c r="M52" s="189"/>
      <c r="N52" s="189"/>
      <c r="O52" s="189"/>
      <c r="P52" s="189"/>
      <c r="Q52" s="272"/>
      <c r="R52" s="190"/>
      <c r="S52" s="189"/>
      <c r="T52" s="189"/>
      <c r="U52" s="272"/>
      <c r="V52" s="190"/>
      <c r="W52" s="189"/>
      <c r="X52" s="189"/>
      <c r="Y52" s="272"/>
      <c r="Z52" s="190"/>
      <c r="AA52" s="189"/>
      <c r="AB52" s="272"/>
      <c r="AC52" s="272"/>
      <c r="AD52" s="190"/>
      <c r="AE52" s="189"/>
      <c r="AF52" s="189"/>
      <c r="AG52" s="272"/>
      <c r="AH52" s="190"/>
      <c r="AI52" s="189"/>
      <c r="AJ52" s="189"/>
      <c r="AK52" s="272"/>
      <c r="AL52" s="190"/>
      <c r="AM52" s="189"/>
      <c r="AN52" s="189"/>
      <c r="AO52" s="272"/>
      <c r="AP52" s="190"/>
      <c r="AQ52" s="189"/>
      <c r="AR52" s="189"/>
      <c r="AS52" s="272"/>
      <c r="AT52" s="190"/>
      <c r="AU52" s="189"/>
      <c r="AV52" s="189"/>
      <c r="AY52" s="361"/>
    </row>
    <row r="53" spans="1:51" ht="15.75" thickBot="1">
      <c r="A53" s="280" t="s">
        <v>204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1">
        <f>C49+G49+K49+O49+S49+W49+AA49+AE49+AI49+AM49+AQ49+AU49</f>
        <v>0</v>
      </c>
      <c r="N53" s="283"/>
      <c r="P53" s="279"/>
      <c r="Q53" s="272"/>
      <c r="R53" s="190"/>
      <c r="S53" s="189"/>
      <c r="T53" s="189"/>
      <c r="U53" s="272"/>
      <c r="V53" s="190"/>
      <c r="W53" s="189"/>
      <c r="X53" s="189"/>
      <c r="Y53" s="272"/>
      <c r="Z53" s="190"/>
      <c r="AA53" s="189"/>
      <c r="AB53" s="272"/>
      <c r="AC53" s="272"/>
      <c r="AD53" s="190"/>
      <c r="AE53" s="189"/>
      <c r="AF53" s="189"/>
      <c r="AG53" s="272"/>
      <c r="AH53" s="190"/>
      <c r="AI53" s="189"/>
      <c r="AJ53" s="189"/>
      <c r="AK53" s="272"/>
      <c r="AL53" s="190"/>
      <c r="AM53" s="189"/>
      <c r="AN53" s="189"/>
      <c r="AO53" s="272"/>
      <c r="AP53" s="190"/>
      <c r="AQ53" s="189"/>
      <c r="AR53" s="189"/>
      <c r="AS53" s="272"/>
      <c r="AT53" s="190"/>
      <c r="AU53" s="189"/>
      <c r="AV53" s="189"/>
    </row>
    <row r="54" spans="1:51" ht="15.75" thickBot="1">
      <c r="A54" s="315" t="s">
        <v>205</v>
      </c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6">
        <f>SUM(C50,G50,K50,O50,S50,W50,AA50,AE50,AI50,AM50,AQ50,AU50)</f>
        <v>0</v>
      </c>
      <c r="P54" s="279"/>
      <c r="Q54" s="272"/>
      <c r="R54" s="190"/>
      <c r="S54" s="189"/>
      <c r="T54" s="189"/>
      <c r="U54" s="272"/>
      <c r="V54" s="190"/>
      <c r="W54" s="189"/>
      <c r="X54" s="189"/>
      <c r="Y54" s="272"/>
      <c r="Z54" s="190"/>
      <c r="AA54" s="189"/>
      <c r="AB54" s="272"/>
      <c r="AC54" s="272"/>
      <c r="AD54" s="190"/>
      <c r="AE54" s="189"/>
      <c r="AF54" s="189"/>
      <c r="AG54" s="272"/>
      <c r="AH54" s="190"/>
      <c r="AI54" s="189"/>
      <c r="AJ54" s="189"/>
      <c r="AK54" s="272"/>
      <c r="AL54" s="190"/>
      <c r="AM54" s="189"/>
      <c r="AN54" s="189"/>
      <c r="AO54" s="272"/>
      <c r="AP54" s="190"/>
      <c r="AQ54" s="189"/>
      <c r="AR54" s="189"/>
      <c r="AS54" s="272"/>
      <c r="AT54" s="190"/>
      <c r="AU54" s="189"/>
      <c r="AV54" s="189"/>
    </row>
    <row r="55" spans="1:51">
      <c r="A55" s="545" t="s">
        <v>206</v>
      </c>
      <c r="B55" s="545"/>
      <c r="C55" s="545"/>
      <c r="D55" s="407"/>
      <c r="E55" s="189"/>
      <c r="F55" s="189"/>
      <c r="G55" s="282" t="s">
        <v>236</v>
      </c>
      <c r="H55" s="282"/>
      <c r="I55" s="282"/>
      <c r="J55" s="282"/>
      <c r="K55" s="282"/>
      <c r="L55" s="282"/>
      <c r="M55" s="282"/>
      <c r="N55" s="282"/>
      <c r="O55" s="282"/>
      <c r="P55" s="283"/>
      <c r="Q55" s="272"/>
      <c r="R55" s="190"/>
      <c r="S55" s="189"/>
      <c r="T55" s="189"/>
      <c r="U55" s="272"/>
      <c r="V55" s="190"/>
      <c r="W55" s="189"/>
      <c r="X55" s="189"/>
      <c r="Y55" s="272"/>
      <c r="Z55" s="190"/>
      <c r="AA55" s="189"/>
      <c r="AB55" s="272"/>
      <c r="AC55" s="272"/>
      <c r="AD55" s="190"/>
      <c r="AE55" s="189"/>
      <c r="AF55" s="189"/>
      <c r="AG55" s="272"/>
      <c r="AH55" s="190"/>
      <c r="AI55" s="189"/>
      <c r="AJ55" s="189"/>
      <c r="AK55" s="272"/>
      <c r="AL55" s="190"/>
      <c r="AM55" s="189"/>
      <c r="AN55" s="189"/>
      <c r="AO55" s="272"/>
      <c r="AP55" s="190"/>
      <c r="AQ55" s="189"/>
      <c r="AR55" s="189"/>
      <c r="AS55" s="272"/>
      <c r="AT55" s="190"/>
      <c r="AU55" s="189"/>
      <c r="AV55" s="189"/>
    </row>
    <row r="56" spans="1:51" ht="7.5" customHeight="1" thickBot="1"/>
    <row r="57" spans="1:51" s="189" customFormat="1" ht="22.5" customHeight="1" thickBot="1">
      <c r="A57" s="335"/>
      <c r="B57" s="332" t="s">
        <v>208</v>
      </c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493">
        <f>'Prépa planning SURV. INTERNAT'!F48</f>
        <v>1477</v>
      </c>
      <c r="R57" s="494"/>
      <c r="S57" s="495"/>
      <c r="T57" s="332"/>
      <c r="U57" s="500" t="s">
        <v>209</v>
      </c>
      <c r="V57" s="503" t="s">
        <v>210</v>
      </c>
      <c r="W57" s="504"/>
      <c r="X57" s="505"/>
      <c r="Y57" s="509" t="s">
        <v>211</v>
      </c>
      <c r="Z57" s="510"/>
      <c r="AA57" s="332"/>
      <c r="AB57" s="335"/>
      <c r="AC57" s="336"/>
      <c r="AD57" s="336"/>
      <c r="AE57" s="336"/>
      <c r="AF57" s="336"/>
      <c r="AG57" s="336"/>
      <c r="AH57" s="337" t="s">
        <v>212</v>
      </c>
      <c r="AI57" s="336"/>
      <c r="AJ57" s="591" t="str">
        <f>'Prépa planning SURV. INTERNAT'!D32</f>
        <v>TOURS*</v>
      </c>
      <c r="AK57" s="591"/>
      <c r="AL57" s="591"/>
      <c r="AM57" s="591"/>
      <c r="AN57" s="591"/>
      <c r="AO57" s="591"/>
      <c r="AP57" s="591"/>
      <c r="AQ57" s="591"/>
      <c r="AR57" s="337" t="s">
        <v>213</v>
      </c>
      <c r="AS57" s="531">
        <f ca="1">TODAY()</f>
        <v>45909</v>
      </c>
      <c r="AT57" s="531"/>
      <c r="AU57" s="531"/>
      <c r="AV57" s="338"/>
    </row>
    <row r="58" spans="1:51" s="189" customFormat="1" ht="17.25" customHeight="1" thickBot="1">
      <c r="A58" s="251"/>
      <c r="B58" s="284"/>
      <c r="C58" s="284"/>
      <c r="D58" s="284"/>
      <c r="E58" s="339"/>
      <c r="F58" s="339"/>
      <c r="G58" s="339"/>
      <c r="H58" s="339"/>
      <c r="I58" s="339"/>
      <c r="J58" s="339"/>
      <c r="K58" s="340"/>
      <c r="L58" s="340"/>
      <c r="M58" s="340"/>
      <c r="N58" s="340"/>
      <c r="O58" s="341" t="s">
        <v>214</v>
      </c>
      <c r="P58" s="340"/>
      <c r="Q58" s="515">
        <f>'Prépa planning SURV. INTERNAT'!F43</f>
        <v>7</v>
      </c>
      <c r="R58" s="516"/>
      <c r="S58" s="517"/>
      <c r="T58" s="284"/>
      <c r="U58" s="501"/>
      <c r="V58" s="506"/>
      <c r="W58" s="507"/>
      <c r="X58" s="508"/>
      <c r="Y58" s="511"/>
      <c r="Z58" s="512"/>
      <c r="AA58" s="285"/>
      <c r="AB58" s="343"/>
      <c r="AC58" s="290" t="s">
        <v>215</v>
      </c>
      <c r="AD58" s="286"/>
      <c r="AE58" s="286"/>
      <c r="AF58" s="286"/>
      <c r="AG58" s="286"/>
      <c r="AH58" s="286"/>
      <c r="AI58" s="286"/>
      <c r="AJ58" s="286"/>
      <c r="AK58" s="286"/>
      <c r="AL58" s="285"/>
      <c r="AM58" s="285"/>
      <c r="AN58" s="285"/>
      <c r="AO58" s="285"/>
      <c r="AP58" s="287"/>
      <c r="AQ58" s="287"/>
      <c r="AR58" s="287"/>
      <c r="AS58" s="287"/>
      <c r="AT58" s="287"/>
      <c r="AU58" s="288"/>
      <c r="AV58" s="289"/>
    </row>
    <row r="59" spans="1:51" s="189" customFormat="1" ht="17.25" thickBot="1">
      <c r="A59" s="251"/>
      <c r="B59" s="284" t="s">
        <v>216</v>
      </c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493">
        <f>+C47+G47+K47+O47+S47+W47+AA47+AE47+AI47+AM47+AQ47+AU47</f>
        <v>0</v>
      </c>
      <c r="R59" s="494"/>
      <c r="S59" s="495"/>
      <c r="T59" s="284"/>
      <c r="U59" s="501"/>
      <c r="V59" s="347" t="s">
        <v>217</v>
      </c>
      <c r="W59" s="323"/>
      <c r="X59" s="324">
        <f>COUNTIF(C22,"&gt;0")+COUNTIF(C29,"&gt;0")+COUNTIF(C36,"&gt;0")+COUNTIF(AI46,"&gt;0")+COUNTIF(G20,"&gt;0")+COUNTIF(G27,"&gt;0")+COUNTIF(K17,"&gt;0")+COUNTIF(K24,"&gt;0")+COUNTIF(K31,"&gt;0")+COUNTIF(K38,"&gt;0")+COUNTIF(C43,"&gt;0")+COUNTIF(O22,"&gt;0")+COUNTIF(O29,"&gt;0")+COUNTIF(S19,"&gt;0")+COUNTIF(S26,"&gt;0")+COUNTIF(S33,"&gt;0")+COUNTIF(S40,"&gt;0")+COUNTIF(W16,"&gt;0")+COUNTIF(W23,"&gt;0")+COUNTIF(AA16,"&gt;0")+COUNTIF(AA23,"&gt;0")+COUNTIF(AA30,"&gt;0")+COUNTIF(AA37,"&gt;0")+COUNTIF(AA44,"&gt;0")+COUNTIF(AE20,"&gt;0")+COUNTIF(AI32,"&gt;0")+COUNTIF(AI39,"&gt;0")+COUNTIF(AE41,"&gt;0")+COUNTIF(AM22,"&gt;0")+COUNTIF(AM29,"&gt;0")+COUNTIF(AM36,"&gt;0")+COUNTIF(AM43,"&gt;0")+COUNTIF(AI18,"&gt;0")+COUNTIF(AI25,"&gt;0")+COUNTIF(K45,"&gt;0")</f>
        <v>0</v>
      </c>
      <c r="Y59" s="513">
        <f t="shared" ref="Y59:Y64" si="26">IF(X59&gt;0,X59*AR7*10%,0)</f>
        <v>0</v>
      </c>
      <c r="Z59" s="514"/>
      <c r="AA59" s="284"/>
      <c r="AB59" s="344"/>
      <c r="AC59" s="292" t="s">
        <v>218</v>
      </c>
      <c r="AD59" s="291"/>
      <c r="AE59" s="291"/>
      <c r="AF59" s="291"/>
      <c r="AG59" s="285"/>
      <c r="AH59" s="285"/>
      <c r="AI59" s="285"/>
      <c r="AJ59" s="285"/>
      <c r="AK59" s="334" t="s">
        <v>219</v>
      </c>
      <c r="AL59" s="284"/>
      <c r="AM59" s="331"/>
      <c r="AN59" s="528" t="str">
        <f>'Prépa planning SURV. INTERNAT'!D34</f>
        <v>MONSIEUR*</v>
      </c>
      <c r="AO59" s="528"/>
      <c r="AP59" s="528"/>
      <c r="AQ59" s="528"/>
      <c r="AR59" s="528"/>
      <c r="AS59" s="528"/>
      <c r="AT59" s="528"/>
      <c r="AU59" s="528"/>
      <c r="AV59" s="293"/>
    </row>
    <row r="60" spans="1:51" s="189" customFormat="1" ht="17.25" thickBot="1">
      <c r="A60" s="251"/>
      <c r="B60" s="284" t="s">
        <v>220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493">
        <f>Y65</f>
        <v>0</v>
      </c>
      <c r="R60" s="494"/>
      <c r="S60" s="495"/>
      <c r="T60" s="284"/>
      <c r="U60" s="501"/>
      <c r="V60" s="348" t="s">
        <v>221</v>
      </c>
      <c r="W60" s="325"/>
      <c r="X60" s="326">
        <f>COUNTIF(C16,"&gt;0")+COUNTIF(C23,"&gt;0")+COUNTIF(C30,"&gt;0")+COUNTIF(C37,"&gt;0")+COUNTIF(C44,"&gt;0")+COUNTIF(G21,"&gt;0")+COUNTIF(G28,"&gt;0")+COUNTIF(K18,"&gt;0")+COUNTIF(K25,"&gt;0")+COUNTIF(K32,"&gt;0")+COUNTIF(K39,"&gt;0")+COUNTIF(O16,"&gt;0")+COUNTIF(O23,"&gt;0")+COUNTIF(O30,"&gt;0")+COUNTIF(S20,"&gt;0")+COUNTIF(S27,"&gt;0")+COUNTIF(S34,"&gt;0")+COUNTIF(S41,"&gt;0")+COUNTIF(W17,"&gt;0")+COUNTIF(W24,"&gt;0")+COUNTIF(AA17,"&gt;0")+COUNTIF(AA24,"&gt;0")+COUNTIF(AA31,"&gt;0")+COUNTIF(AA38,"&gt;0")+COUNTIF(AE42,"&gt;0")+COUNTIF(AI33,"&gt;0")+COUNTIF(AI26,"&gt;0")+COUNTIF(AM16,"&gt;0")+COUNTIF(AM23,"&gt;0")+COUNTIF(AM30,"&gt;0")+COUNTIF(AM37,"&gt;0")+COUNTIF(AI19,"&gt;0")+COUNTIF(AA45,"&gt;0")+COUNTIF(AM44,"&gt;0")+COUNTIF(AE21,"&gt;0")+COUNTIF(AI40,"&gt;0")</f>
        <v>0</v>
      </c>
      <c r="Y60" s="498">
        <f t="shared" si="26"/>
        <v>0</v>
      </c>
      <c r="Z60" s="499"/>
      <c r="AA60" s="290"/>
      <c r="AB60" s="344"/>
      <c r="AC60" s="284"/>
      <c r="AD60" s="291"/>
      <c r="AE60" s="291"/>
      <c r="AF60" s="291"/>
      <c r="AG60" s="285"/>
      <c r="AH60" s="285"/>
      <c r="AI60" s="285"/>
      <c r="AJ60" s="285"/>
      <c r="AK60" s="333"/>
      <c r="AL60" s="496" t="s">
        <v>222</v>
      </c>
      <c r="AM60" s="496"/>
      <c r="AN60" s="496"/>
      <c r="AO60" s="496"/>
      <c r="AP60" s="496"/>
      <c r="AQ60" s="496"/>
      <c r="AR60" s="496"/>
      <c r="AS60" s="496"/>
      <c r="AT60" s="496"/>
      <c r="AU60" s="496"/>
      <c r="AV60" s="497"/>
    </row>
    <row r="61" spans="1:51" s="189" customFormat="1" ht="17.25" thickBot="1">
      <c r="A61" s="251"/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5" t="s">
        <v>223</v>
      </c>
      <c r="P61" s="285"/>
      <c r="Q61" s="294">
        <f>Q57-Q59-Q60</f>
        <v>1477</v>
      </c>
      <c r="R61" s="295"/>
      <c r="S61" s="296"/>
      <c r="T61" s="284"/>
      <c r="U61" s="501"/>
      <c r="V61" s="348" t="s">
        <v>224</v>
      </c>
      <c r="W61" s="327"/>
      <c r="X61" s="326">
        <f>COUNTIF(C17,"&gt;0")+COUNTIF(C24,"&gt;0")+COUNTIF(C31,"&gt;0")+COUNTIF(C38,"&gt;0")+COUNTIF(C45,"&gt;0")+COUNTIF(G22,"&gt;0")+COUNTIF(G29,"&gt;0")+COUNTIF(K19,"&gt;0")+COUNTIF(AA46,"&gt;0")+COUNTIF(K33,"&gt;0")+COUNTIF(K40,"&gt;0")+COUNTIF(O17,"&gt;0")+COUNTIF(O24,"&gt;0")+COUNTIF(O31,"&gt;0")+COUNTIF(S21,"&gt;0")+COUNTIF(S28,"&gt;0")+COUNTIF(S35,"&gt;0")+COUNTIF(S42,"&gt;0")+COUNTIF(W18,"&gt;0")+COUNTIF(W25,"&gt;0")+COUNTIF(AA18,"&gt;0")+COUNTIF(AA25,"&gt;0")+COUNTIF(AA32,"&gt;0")+COUNTIF(AA39,"&gt;0")+COUNTIF(AE43,"&gt;0")+COUNTIF(AE22,"&gt;0")+COUNTIF(AI34,"&gt;0")+COUNTIF(AI41,"&gt;0")+COUNTIF(AM17,"&gt;0")+COUNTIF(AM24,"&gt;0")+COUNTIF(AM31,"&gt;0")+COUNTIF(AM38,"&gt;0")+COUNTIF(AI20,"&gt;0")+COUNTIF(AI27,"&gt;0")+COUNTIF(AM45,"&gt;0")+COUNTIF(K26,"&gt;0")</f>
        <v>0</v>
      </c>
      <c r="Y61" s="498">
        <f t="shared" si="26"/>
        <v>0</v>
      </c>
      <c r="Z61" s="499"/>
      <c r="AA61" s="284"/>
      <c r="AB61" s="344"/>
      <c r="AC61" s="592" t="str">
        <f>'Prépa planning SURV. INTERNAT'!D33</f>
        <v>MADAME*</v>
      </c>
      <c r="AD61" s="592"/>
      <c r="AE61" s="592"/>
      <c r="AF61" s="592"/>
      <c r="AG61" s="592"/>
      <c r="AH61" s="592"/>
      <c r="AI61" s="592"/>
      <c r="AJ61" s="285"/>
      <c r="AK61" s="333"/>
      <c r="AL61" s="496" t="s">
        <v>225</v>
      </c>
      <c r="AM61" s="496"/>
      <c r="AN61" s="496"/>
      <c r="AO61" s="496"/>
      <c r="AP61" s="496"/>
      <c r="AQ61" s="496"/>
      <c r="AR61" s="496"/>
      <c r="AS61" s="496"/>
      <c r="AT61" s="496"/>
      <c r="AU61" s="496"/>
      <c r="AV61" s="497"/>
    </row>
    <row r="62" spans="1:51" s="189" customFormat="1" ht="15" customHeight="1">
      <c r="A62" s="251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5"/>
      <c r="P62" s="285"/>
      <c r="Q62" s="284"/>
      <c r="R62" s="284"/>
      <c r="S62" s="297"/>
      <c r="T62" s="321"/>
      <c r="U62" s="501"/>
      <c r="V62" s="348" t="s">
        <v>226</v>
      </c>
      <c r="W62" s="328"/>
      <c r="X62" s="326">
        <f>COUNTIF(C18,"&gt;0")+COUNTIF(C25,"&gt;0")+COUNTIF(C32,"&gt;0")+COUNTIF(C39,"&gt;0")+COUNTIF(G16,"&gt;0")+COUNTIF(G23,"&gt;0")+COUNTIF(G30,"&gt;0")+COUNTIF(K20,"&gt;0")+COUNTIF(K27,"&gt;0")+COUNTIF(K34,"&gt;0")+COUNTIF(K41,"&gt;0")+COUNTIF(O18,"&gt;0")+COUNTIF(O25,"&gt;0")+COUNTIF(O32,"&gt;0")+COUNTIF(S22,"&gt;0")+COUNTIF(S29,"&gt;0")+COUNTIF(S36,"&gt;0")+COUNTIF(S43,"&gt;0")+COUNTIF(W19,"&gt;0")+COUNTIF(W26,"&gt;0")+COUNTIF(AA19,"&gt;0")+COUNTIF(AA26,"&gt;0")+COUNTIF(AA33,"&gt;0")+COUNTIF(AA40,"&gt;0")+COUNTIF(AE16,"&gt;0")+COUNTIF(AE23,"&gt;0")+COUNTIF(AI35,"&gt;0")+COUNTIF(AI42,"&gt;0")+COUNTIF(AM18,"&gt;0")+COUNTIF(AM25,"&gt;0")+COUNTIF(AM32,"&gt;0")+COUNTIF(AM39,"&gt;0")+COUNTIF(AQ16,"&gt;0")+COUNTIF(AE44,"&gt;0")+COUNTIF(AI21,"&gt;0")+COUNTIF(AI28,"&gt;0")</f>
        <v>0</v>
      </c>
      <c r="Y62" s="498">
        <f t="shared" si="26"/>
        <v>0</v>
      </c>
      <c r="Z62" s="499"/>
      <c r="AA62" s="292"/>
      <c r="AB62" s="344"/>
      <c r="AC62" s="408"/>
      <c r="AD62" s="408"/>
      <c r="AE62" s="408"/>
      <c r="AF62" s="408"/>
      <c r="AG62" s="408"/>
      <c r="AH62" s="408"/>
      <c r="AI62" s="408"/>
      <c r="AJ62" s="285"/>
      <c r="AK62" s="333"/>
      <c r="AL62" s="496" t="s">
        <v>227</v>
      </c>
      <c r="AM62" s="496"/>
      <c r="AN62" s="496"/>
      <c r="AO62" s="496"/>
      <c r="AP62" s="496"/>
      <c r="AQ62" s="496"/>
      <c r="AR62" s="496"/>
      <c r="AS62" s="496"/>
      <c r="AT62" s="496"/>
      <c r="AU62" s="496"/>
      <c r="AV62" s="497"/>
    </row>
    <row r="63" spans="1:51" s="189" customFormat="1" ht="16.5" customHeight="1">
      <c r="A63" s="251"/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320"/>
      <c r="O63" s="285"/>
      <c r="U63" s="501"/>
      <c r="V63" s="348" t="s">
        <v>228</v>
      </c>
      <c r="W63" s="328"/>
      <c r="X63" s="326">
        <f>COUNTIF(C19,"&gt;0")+COUNTIF(C26,"&gt;0")+COUNTIF(C33,"&gt;0")+COUNTIF(C40,"&gt;0")+COUNTIF(G17,"&gt;0")+COUNTIF(G24,"&gt;0")+COUNTIF(G31,"&gt;0")+COUNTIF(K21,"&gt;0")+COUNTIF(K28,"&gt;0")+COUNTIF(K35,"&gt;0")+COUNTIF(K42,"&gt;0")+COUNTIF(O19,"&gt;0")+COUNTIF(O26,"&gt;0")+COUNTIF(O33,"&gt;0")+COUNTIF(S23,"&gt;0")+COUNTIF(S30,"&gt;0")+COUNTIF(S37,"&gt;0")+COUNTIF(S44,"&gt;0")+COUNTIF(W20,"&gt;0")+COUNTIF(W27,"&gt;0")+COUNTIF(AA20,"&gt;0")+COUNTIF(AA27,"&gt;0")+COUNTIF(AA34,"&gt;0")+COUNTIF(AA41,"&gt;0")+COUNTIF(AE17,"&gt;0")+COUNTIF(AE24,"&gt;0")+COUNTIF(AI36,"&gt;0")+COUNTIF(AI43,"&gt;0")+COUNTIF(AM19,"&gt;0")+COUNTIF(AM26,"&gt;0")+COUNTIF(AM33,"&gt;0")+COUNTIF(AM40,"&gt;0")+COUNTIF(AQ17,"&gt;0")+COUNTIF(AE45,"&gt;0")+COUNTIF(AI22,"&gt;0")+COUNTIF(AI29,"&gt;0")</f>
        <v>0</v>
      </c>
      <c r="Y63" s="498">
        <f t="shared" si="26"/>
        <v>0</v>
      </c>
      <c r="Z63" s="499"/>
      <c r="AA63" s="292"/>
      <c r="AB63" s="344"/>
      <c r="AC63" s="284"/>
      <c r="AD63" s="284"/>
      <c r="AE63" s="284"/>
      <c r="AF63" s="284"/>
      <c r="AG63" s="284"/>
      <c r="AH63" s="284"/>
      <c r="AI63" s="284"/>
      <c r="AJ63" s="285"/>
      <c r="AK63" s="333"/>
      <c r="AL63" s="409"/>
      <c r="AM63" s="409"/>
      <c r="AN63" s="409"/>
      <c r="AO63" s="409"/>
      <c r="AP63" s="409"/>
      <c r="AQ63" s="409"/>
      <c r="AR63" s="409"/>
      <c r="AS63" s="409"/>
      <c r="AT63" s="409"/>
      <c r="AU63" s="409"/>
      <c r="AV63" s="410"/>
    </row>
    <row r="64" spans="1:51" s="189" customFormat="1" ht="17.25" customHeight="1" thickBot="1">
      <c r="A64" s="251"/>
      <c r="B64" s="284" t="s">
        <v>160</v>
      </c>
      <c r="C64" s="284"/>
      <c r="D64" s="284"/>
      <c r="E64" s="285" t="str">
        <f>'Prépa planning SURV. INTERNAT'!F39</f>
        <v>2 - EPNL 51 jours de CP</v>
      </c>
      <c r="F64" s="285"/>
      <c r="G64" s="285"/>
      <c r="H64" s="285"/>
      <c r="I64" s="285"/>
      <c r="J64" s="284"/>
      <c r="K64" s="285"/>
      <c r="L64" s="284"/>
      <c r="M64" s="284"/>
      <c r="N64" s="320"/>
      <c r="O64" s="317"/>
      <c r="U64" s="501"/>
      <c r="V64" s="349" t="s">
        <v>229</v>
      </c>
      <c r="W64" s="329"/>
      <c r="X64" s="330">
        <f>COUNTIF(C20,"&gt;0")+COUNTIF(C27,"&gt;0")+COUNTIF(C34,"&gt;0")+COUNTIF(C41,"&gt;0")+COUNTIF(G18,"&gt;0")+COUNTIF(G25,"&gt;0")+COUNTIF(G32,"&gt;0")+COUNTIF(K22,"&gt;0")+COUNTIF(K29,"&gt;0")+COUNTIF(K36,"&gt;0")+COUNTIF(K43,"&gt;0")+COUNTIF(O20,"&gt;0")+COUNTIF(O27,"&gt;0")+COUNTIF(O34,"&gt;0")+COUNTIF(S24,"&gt;0")+COUNTIF(S31,"&gt;0")+COUNTIF(S38,"&gt;0")+COUNTIF(S45,"&gt;0")+COUNTIF(W21,"&gt;0")+COUNTIF(W28,"&gt;0")+COUNTIF(AA21,"&gt;0")+COUNTIF(AA28,"&gt;0")+COUNTIF(AA35,"&gt;0")+COUNTIF(AA42,"&gt;0")+COUNTIF(AE18,"&gt;0")+COUNTIF(AE25,"&gt;0")+COUNTIF(AI37,"&gt;0")+COUNTIF(AI44,"&gt;0")+COUNTIF(AM20,"&gt;0")+COUNTIF(AM27,"&gt;0")+COUNTIF(AM34,"&gt;0")+COUNTIF(AM41,"&gt;0")+COUNTIF(AQ18,"&gt;0")+COUNTIF(AI16,"&gt;0")+COUNTIF(AI23,"&gt;0")</f>
        <v>0</v>
      </c>
      <c r="Y64" s="498">
        <f t="shared" si="26"/>
        <v>0</v>
      </c>
      <c r="Z64" s="499"/>
      <c r="AA64" s="284"/>
      <c r="AB64" s="251"/>
      <c r="AC64" s="284"/>
      <c r="AD64" s="284"/>
      <c r="AE64" s="284"/>
      <c r="AF64" s="284"/>
      <c r="AG64" s="284"/>
      <c r="AH64" s="285"/>
      <c r="AI64" s="285"/>
      <c r="AJ64" s="285"/>
      <c r="AK64" s="251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410"/>
    </row>
    <row r="65" spans="1:48" s="189" customFormat="1" ht="17.25" thickBot="1">
      <c r="A65" s="251"/>
      <c r="B65" s="284" t="s">
        <v>230</v>
      </c>
      <c r="C65" s="284"/>
      <c r="D65" s="284"/>
      <c r="E65" s="284"/>
      <c r="F65" s="284"/>
      <c r="G65" s="284"/>
      <c r="H65" s="284"/>
      <c r="I65" s="286">
        <f>'Prépa planning SURV. INTERNAT'!F47</f>
        <v>51</v>
      </c>
      <c r="J65" s="284"/>
      <c r="K65" s="284"/>
      <c r="L65" s="284"/>
      <c r="M65" s="284"/>
      <c r="N65" s="320"/>
      <c r="O65" s="318"/>
      <c r="U65" s="502"/>
      <c r="V65" s="322"/>
      <c r="W65" s="346" t="s">
        <v>147</v>
      </c>
      <c r="X65" s="346"/>
      <c r="Y65" s="518">
        <f>SUM(Y59:Z64)</f>
        <v>0</v>
      </c>
      <c r="Z65" s="519"/>
      <c r="AA65" s="285"/>
      <c r="AB65" s="334"/>
      <c r="AC65" s="292"/>
      <c r="AD65" s="292"/>
      <c r="AE65" s="292"/>
      <c r="AF65" s="292"/>
      <c r="AG65" s="285"/>
      <c r="AH65" s="285"/>
      <c r="AI65" s="285"/>
      <c r="AJ65" s="285"/>
      <c r="AK65" s="251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410"/>
    </row>
    <row r="66" spans="1:48" s="189" customFormat="1" ht="17.25" thickBot="1">
      <c r="A66" s="251"/>
      <c r="B66" s="284" t="s">
        <v>231</v>
      </c>
      <c r="C66" s="284"/>
      <c r="D66" s="284"/>
      <c r="E66" s="284"/>
      <c r="F66" s="284"/>
      <c r="G66" s="284"/>
      <c r="H66" s="284"/>
      <c r="I66" s="342">
        <f>'Prépa planning SURV. INTERNAT'!F51</f>
        <v>1</v>
      </c>
      <c r="J66" s="284"/>
      <c r="K66" s="284"/>
      <c r="L66" s="284"/>
      <c r="M66" s="284"/>
      <c r="N66" s="320"/>
      <c r="O66" s="319"/>
      <c r="U66" s="587" t="s">
        <v>232</v>
      </c>
      <c r="V66" s="588"/>
      <c r="W66" s="588"/>
      <c r="X66" s="589"/>
      <c r="Y66" s="590">
        <f>ROUNDUP(Y65/(7*I66),0)</f>
        <v>0</v>
      </c>
      <c r="Z66" s="519"/>
      <c r="AA66" s="285"/>
      <c r="AB66" s="334"/>
      <c r="AC66" s="292"/>
      <c r="AD66" s="292"/>
      <c r="AE66" s="292"/>
      <c r="AF66" s="292"/>
      <c r="AG66" s="285"/>
      <c r="AH66" s="285"/>
      <c r="AI66" s="285"/>
      <c r="AJ66" s="285"/>
      <c r="AK66" s="333"/>
      <c r="AL66" s="409"/>
      <c r="AM66" s="409"/>
      <c r="AN66" s="409"/>
      <c r="AO66" s="409"/>
      <c r="AP66" s="409"/>
      <c r="AQ66" s="409"/>
      <c r="AR66" s="409"/>
      <c r="AS66" s="409"/>
      <c r="AT66" s="409"/>
      <c r="AU66" s="409"/>
      <c r="AV66" s="410"/>
    </row>
    <row r="67" spans="1:48" s="189" customFormat="1" ht="17.25" thickBot="1">
      <c r="A67" s="251"/>
      <c r="B67" s="298" t="s">
        <v>233</v>
      </c>
      <c r="C67" s="299"/>
      <c r="D67" s="299"/>
      <c r="E67" s="299"/>
      <c r="F67" s="299"/>
      <c r="G67" s="299"/>
      <c r="H67" s="299"/>
      <c r="I67" s="300">
        <f>'Prépa planning SURV. INTERNAT'!F50</f>
        <v>151.66666666666666</v>
      </c>
      <c r="J67" s="301" t="s">
        <v>234</v>
      </c>
      <c r="K67" s="302"/>
      <c r="L67" s="285"/>
      <c r="M67" s="284"/>
      <c r="N67" s="320"/>
      <c r="O67" s="284"/>
      <c r="V67" s="284"/>
      <c r="W67" s="284"/>
      <c r="X67" s="284"/>
      <c r="Y67" s="284"/>
      <c r="Z67" s="284"/>
      <c r="AA67" s="402"/>
      <c r="AB67" s="345"/>
      <c r="AC67" s="285"/>
      <c r="AD67" s="285"/>
      <c r="AE67" s="285"/>
      <c r="AF67" s="285"/>
      <c r="AG67" s="285"/>
      <c r="AH67" s="285"/>
      <c r="AI67" s="285"/>
      <c r="AJ67" s="285"/>
      <c r="AK67" s="251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410"/>
    </row>
    <row r="68" spans="1:48" s="189" customFormat="1" ht="9.75" customHeight="1" thickBot="1">
      <c r="A68" s="248"/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4"/>
      <c r="T68" s="304"/>
      <c r="U68" s="305"/>
      <c r="V68" s="303"/>
      <c r="W68" s="303"/>
      <c r="X68" s="303"/>
      <c r="Y68" s="303"/>
      <c r="Z68" s="303"/>
      <c r="AA68" s="303"/>
      <c r="AB68" s="248"/>
      <c r="AC68" s="303"/>
      <c r="AD68" s="303"/>
      <c r="AE68" s="303"/>
      <c r="AF68" s="303"/>
      <c r="AG68" s="303"/>
      <c r="AH68" s="303"/>
      <c r="AI68" s="303"/>
      <c r="AJ68" s="303"/>
      <c r="AK68" s="248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6"/>
    </row>
  </sheetData>
  <sheetProtection sheet="1" formatCells="0" formatColumns="0" formatRows="0" pivotTables="0"/>
  <protectedRanges>
    <protectedRange sqref="F1:F2 W1:W2" name="Plage1"/>
    <protectedRange sqref="Z7:AB12 AD7:AF12 AY9 D7:E12 G7:H12 J7:L12 N7:P12 R7:T12 V7:X12" name="Plage2"/>
    <protectedRange sqref="C16:C45 K16:K45 AQ28 G16:G46 O37:O39 O41:O42 O44:O46 S17:S18 W31:W36 W38:W43 AE28:AE33 AE35:AE40 AQ21:AQ26 AQ30:AQ33 AQ35:AQ40 AQ42:AQ46 AU18:AU23 AU16 AU25:AU29 AU32:AU37 AU39:AU44 AU46" name="Plage3"/>
    <protectedRange sqref="S16 O16:O36 W16:W30 O40 W37 O43 S19:S46" name="Plage4"/>
    <protectedRange sqref="AA16:AA46 AE16:AE27 AI16:AI46 AE34 AE41:AE45" name="Plage5"/>
    <protectedRange sqref="AM16:AM45 AQ16:AQ20 AU17 AQ27 AQ29 AQ41 AU24 AU30:AU31 AU38 AU45 AQ34" name="Plage6"/>
    <protectedRange sqref="Q52:AV55 AB57:AV68" name="Plage7"/>
  </protectedRanges>
  <mergeCells count="187">
    <mergeCell ref="F1:U1"/>
    <mergeCell ref="F2:Q2"/>
    <mergeCell ref="W2:AM2"/>
    <mergeCell ref="C4:AF4"/>
    <mergeCell ref="C5:H6"/>
    <mergeCell ref="I5:X5"/>
    <mergeCell ref="Y5:AF6"/>
    <mergeCell ref="I6:P6"/>
    <mergeCell ref="Q6:X6"/>
    <mergeCell ref="AG6:AJ6"/>
    <mergeCell ref="AD7:AF7"/>
    <mergeCell ref="AH7:AJ7"/>
    <mergeCell ref="AK7:AL7"/>
    <mergeCell ref="AM7:AO7"/>
    <mergeCell ref="AP7:AQ7"/>
    <mergeCell ref="AR7:AV7"/>
    <mergeCell ref="AK6:AO6"/>
    <mergeCell ref="AP6:AV6"/>
    <mergeCell ref="A7:B7"/>
    <mergeCell ref="D7:E7"/>
    <mergeCell ref="G7:H7"/>
    <mergeCell ref="J7:L7"/>
    <mergeCell ref="N7:P7"/>
    <mergeCell ref="R7:T7"/>
    <mergeCell ref="V7:X7"/>
    <mergeCell ref="Z7:AB7"/>
    <mergeCell ref="A9:B9"/>
    <mergeCell ref="D9:E9"/>
    <mergeCell ref="G9:H9"/>
    <mergeCell ref="J9:L9"/>
    <mergeCell ref="N9:P9"/>
    <mergeCell ref="R9:T9"/>
    <mergeCell ref="V9:X9"/>
    <mergeCell ref="Z9:AB9"/>
    <mergeCell ref="V8:X8"/>
    <mergeCell ref="Z8:AB8"/>
    <mergeCell ref="A8:B8"/>
    <mergeCell ref="D8:E8"/>
    <mergeCell ref="G8:H8"/>
    <mergeCell ref="J8:L8"/>
    <mergeCell ref="N8:P8"/>
    <mergeCell ref="R8:T8"/>
    <mergeCell ref="R10:T10"/>
    <mergeCell ref="AD9:AF9"/>
    <mergeCell ref="AH9:AJ9"/>
    <mergeCell ref="AK9:AL9"/>
    <mergeCell ref="AM9:AO9"/>
    <mergeCell ref="AP9:AQ9"/>
    <mergeCell ref="AR9:AV9"/>
    <mergeCell ref="AP8:AQ8"/>
    <mergeCell ref="AR8:AV8"/>
    <mergeCell ref="AD8:AF8"/>
    <mergeCell ref="AH8:AJ8"/>
    <mergeCell ref="AK8:AL8"/>
    <mergeCell ref="AM8:AO8"/>
    <mergeCell ref="AM11:AO11"/>
    <mergeCell ref="AP11:AQ11"/>
    <mergeCell ref="AR11:AV11"/>
    <mergeCell ref="AP10:AQ10"/>
    <mergeCell ref="AR10:AV10"/>
    <mergeCell ref="A11:B11"/>
    <mergeCell ref="D11:E11"/>
    <mergeCell ref="G11:H11"/>
    <mergeCell ref="J11:L11"/>
    <mergeCell ref="N11:P11"/>
    <mergeCell ref="R11:T11"/>
    <mergeCell ref="V11:X11"/>
    <mergeCell ref="Z11:AB11"/>
    <mergeCell ref="V10:X10"/>
    <mergeCell ref="Z10:AB10"/>
    <mergeCell ref="AD10:AF10"/>
    <mergeCell ref="AH10:AJ10"/>
    <mergeCell ref="AK10:AL10"/>
    <mergeCell ref="AM10:AO10"/>
    <mergeCell ref="A10:B10"/>
    <mergeCell ref="D10:E10"/>
    <mergeCell ref="G10:H10"/>
    <mergeCell ref="J10:L10"/>
    <mergeCell ref="N10:P10"/>
    <mergeCell ref="A12:B12"/>
    <mergeCell ref="D12:E12"/>
    <mergeCell ref="G12:H12"/>
    <mergeCell ref="J12:L12"/>
    <mergeCell ref="N12:P12"/>
    <mergeCell ref="R12:T12"/>
    <mergeCell ref="AD11:AF11"/>
    <mergeCell ref="AH11:AJ11"/>
    <mergeCell ref="AK11:AL11"/>
    <mergeCell ref="AP12:AQ12"/>
    <mergeCell ref="AR12:AV12"/>
    <mergeCell ref="AH13:AJ13"/>
    <mergeCell ref="AK13:AL13"/>
    <mergeCell ref="AM13:AO13"/>
    <mergeCell ref="AP13:AQ13"/>
    <mergeCell ref="AR13:AV13"/>
    <mergeCell ref="V12:X12"/>
    <mergeCell ref="Z12:AB12"/>
    <mergeCell ref="AD12:AF12"/>
    <mergeCell ref="AH12:AJ12"/>
    <mergeCell ref="AK12:AL12"/>
    <mergeCell ref="AM12:AO12"/>
    <mergeCell ref="Y15:AB15"/>
    <mergeCell ref="AC15:AF15"/>
    <mergeCell ref="AG15:AJ15"/>
    <mergeCell ref="AK15:AN15"/>
    <mergeCell ref="AO15:AR15"/>
    <mergeCell ref="AS15:AV15"/>
    <mergeCell ref="A15:D15"/>
    <mergeCell ref="E15:H15"/>
    <mergeCell ref="I15:L15"/>
    <mergeCell ref="M15:P15"/>
    <mergeCell ref="Q15:T15"/>
    <mergeCell ref="U15:X15"/>
    <mergeCell ref="AZ45:BF45"/>
    <mergeCell ref="C47:D47"/>
    <mergeCell ref="G47:H47"/>
    <mergeCell ref="K47:L47"/>
    <mergeCell ref="O47:P47"/>
    <mergeCell ref="S47:T47"/>
    <mergeCell ref="W47:X47"/>
    <mergeCell ref="AA47:AB47"/>
    <mergeCell ref="AE47:AF47"/>
    <mergeCell ref="AI47:AJ47"/>
    <mergeCell ref="AM47:AN47"/>
    <mergeCell ref="AQ47:AR47"/>
    <mergeCell ref="AU47:AV47"/>
    <mergeCell ref="C48:D48"/>
    <mergeCell ref="G48:H48"/>
    <mergeCell ref="K48:L48"/>
    <mergeCell ref="O48:P48"/>
    <mergeCell ref="S48:T48"/>
    <mergeCell ref="W48:X48"/>
    <mergeCell ref="AA48:AB48"/>
    <mergeCell ref="AE48:AF48"/>
    <mergeCell ref="AI48:AJ48"/>
    <mergeCell ref="AM48:AN48"/>
    <mergeCell ref="AQ48:AR48"/>
    <mergeCell ref="AU48:AV48"/>
    <mergeCell ref="C49:D49"/>
    <mergeCell ref="G49:H49"/>
    <mergeCell ref="K49:L49"/>
    <mergeCell ref="O49:P49"/>
    <mergeCell ref="S49:T49"/>
    <mergeCell ref="AU49:AV49"/>
    <mergeCell ref="A50:B50"/>
    <mergeCell ref="C50:D50"/>
    <mergeCell ref="G50:H50"/>
    <mergeCell ref="K50:L50"/>
    <mergeCell ref="O50:P50"/>
    <mergeCell ref="S50:T50"/>
    <mergeCell ref="W50:X50"/>
    <mergeCell ref="AA50:AB50"/>
    <mergeCell ref="AE50:AF50"/>
    <mergeCell ref="W49:X49"/>
    <mergeCell ref="AA49:AB49"/>
    <mergeCell ref="AE49:AF49"/>
    <mergeCell ref="AI49:AJ49"/>
    <mergeCell ref="AM49:AN49"/>
    <mergeCell ref="AQ49:AR49"/>
    <mergeCell ref="AI50:AJ50"/>
    <mergeCell ref="AM50:AN50"/>
    <mergeCell ref="AQ50:AR50"/>
    <mergeCell ref="AU50:AV50"/>
    <mergeCell ref="AL61:AV61"/>
    <mergeCell ref="Y62:Z62"/>
    <mergeCell ref="AL62:AV62"/>
    <mergeCell ref="AS57:AU57"/>
    <mergeCell ref="A55:C55"/>
    <mergeCell ref="Q57:S57"/>
    <mergeCell ref="U57:U65"/>
    <mergeCell ref="V57:X58"/>
    <mergeCell ref="Y57:Z58"/>
    <mergeCell ref="AJ57:AQ57"/>
    <mergeCell ref="Y60:Z60"/>
    <mergeCell ref="AL60:AV60"/>
    <mergeCell ref="Q58:S58"/>
    <mergeCell ref="U66:X66"/>
    <mergeCell ref="Y66:Z66"/>
    <mergeCell ref="Y61:Z61"/>
    <mergeCell ref="AC61:AI61"/>
    <mergeCell ref="Q59:S59"/>
    <mergeCell ref="Y59:Z59"/>
    <mergeCell ref="Y63:Z63"/>
    <mergeCell ref="AN59:AU59"/>
    <mergeCell ref="Q60:S60"/>
    <mergeCell ref="Y64:Z64"/>
    <mergeCell ref="Y65:Z65"/>
  </mergeCells>
  <conditionalFormatting sqref="P38:P39">
    <cfRule type="cellIs" dxfId="24" priority="11" stopIfTrue="1" operator="greaterThan">
      <formula>40</formula>
    </cfRule>
  </conditionalFormatting>
  <conditionalFormatting sqref="AV19 AR21:AR22 AV26 AF29 X32 AV33 AR36 AV40 AR43 AE42:AF45 H36:H37">
    <cfRule type="cellIs" dxfId="23" priority="12" stopIfTrue="1" operator="greaterThan">
      <formula>40</formula>
    </cfRule>
  </conditionalFormatting>
  <conditionalFormatting sqref="K17:L17 AB22 AB29 AB36 AB43 S19:T19 AA16 AE41:AF41 D21 D28 D35 D42 H19 H26 H33:H34 H40:H41 L23 L30 L37 L44 P21 P28 P35:P36 T25 T32 T39 T46 X22 X29:X30 X36:X37 AF19 AF26:AF27 AF33:AF34 AJ17 AJ24 AI32:AJ32 AJ31 AJ38 AJ45 AN21 AN28 AN35 AN42 AR19:AR20 AR26:AR27 AR33:AR34 AR40:AR41 AV16:AV17 AV23:AV24 AV30:AV31 AV37:AV38 AV44:AV45 P42:P43">
    <cfRule type="cellIs" dxfId="22" priority="10" stopIfTrue="1" operator="greaterThan">
      <formula>40</formula>
    </cfRule>
  </conditionalFormatting>
  <conditionalFormatting sqref="L16">
    <cfRule type="cellIs" dxfId="21" priority="9" stopIfTrue="1" operator="greaterThan">
      <formula>40</formula>
    </cfRule>
  </conditionalFormatting>
  <conditionalFormatting sqref="T18">
    <cfRule type="cellIs" dxfId="20" priority="8" stopIfTrue="1" operator="greaterThan">
      <formula>40</formula>
    </cfRule>
  </conditionalFormatting>
  <conditionalFormatting sqref="X43">
    <cfRule type="cellIs" dxfId="19" priority="7" stopIfTrue="1" operator="greaterThan">
      <formula>40</formula>
    </cfRule>
  </conditionalFormatting>
  <conditionalFormatting sqref="AF40">
    <cfRule type="cellIs" dxfId="18" priority="6" stopIfTrue="1" operator="greaterThan">
      <formula>40</formula>
    </cfRule>
  </conditionalFormatting>
  <conditionalFormatting sqref="I66">
    <cfRule type="cellIs" dxfId="17" priority="5" stopIfTrue="1" operator="greaterThan">
      <formula>1</formula>
    </cfRule>
  </conditionalFormatting>
  <conditionalFormatting sqref="I67">
    <cfRule type="cellIs" dxfId="16" priority="3" stopIfTrue="1" operator="greaterThan">
      <formula>151.67</formula>
    </cfRule>
    <cfRule type="cellIs" dxfId="15" priority="4" stopIfTrue="1" operator="greaterThan">
      <formula>"151.67"</formula>
    </cfRule>
  </conditionalFormatting>
  <conditionalFormatting sqref="K52">
    <cfRule type="cellIs" dxfId="14" priority="13" stopIfTrue="1" operator="notEqual">
      <formula>$I$65</formula>
    </cfRule>
  </conditionalFormatting>
  <conditionalFormatting sqref="O54">
    <cfRule type="cellIs" dxfId="13" priority="2" stopIfTrue="1" operator="notEqual">
      <formula>$Y$66</formula>
    </cfRule>
  </conditionalFormatting>
  <conditionalFormatting sqref="AE20">
    <cfRule type="cellIs" dxfId="12" priority="1" stopIfTrue="1" operator="greaterThan">
      <formula>40</formula>
    </cfRule>
  </conditionalFormatting>
  <printOptions horizontalCentered="1" verticalCentered="1"/>
  <pageMargins left="0.19685039370078741" right="0.19685039370078741" top="0.19685039370078741" bottom="0.31496062992125984" header="0.51181102362204722" footer="0.15748031496062992"/>
  <pageSetup paperSize="9" scale="60" orientation="landscape" r:id="rId1"/>
  <headerFooter alignWithMargins="0">
    <oddFooter>&amp;L&amp;"Comic Sans MS,Normal"&amp;7&amp;D&amp;C&amp;"Comic Sans MS,Normal"&amp;7&amp;A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5AEDE-5360-43FB-8ED2-C454DDF2A23C}">
  <sheetPr>
    <tabColor theme="4" tint="-0.249977111117893"/>
    <pageSetUpPr fitToPage="1"/>
  </sheetPr>
  <dimension ref="A1:BF68"/>
  <sheetViews>
    <sheetView showZeros="0" topLeftCell="A14" zoomScaleNormal="100" workbookViewId="0">
      <selection activeCell="G56" sqref="G56"/>
    </sheetView>
  </sheetViews>
  <sheetFormatPr defaultColWidth="11.42578125" defaultRowHeight="15"/>
  <cols>
    <col min="1" max="1" width="7.140625" style="192" customWidth="1"/>
    <col min="2" max="2" width="2.85546875" style="193" customWidth="1"/>
    <col min="3" max="3" width="6" style="194" customWidth="1"/>
    <col min="4" max="4" width="4.28515625" style="194" customWidth="1"/>
    <col min="5" max="5" width="7.140625" style="192" customWidth="1"/>
    <col min="6" max="6" width="2.85546875" style="193" customWidth="1"/>
    <col min="7" max="7" width="6" style="194" customWidth="1"/>
    <col min="8" max="8" width="4.28515625" style="194" customWidth="1"/>
    <col min="9" max="9" width="8.28515625" style="192" customWidth="1"/>
    <col min="10" max="10" width="2.85546875" style="193" customWidth="1"/>
    <col min="11" max="11" width="6" style="194" customWidth="1"/>
    <col min="12" max="12" width="4.28515625" style="194" customWidth="1"/>
    <col min="13" max="13" width="7.140625" style="192" customWidth="1"/>
    <col min="14" max="14" width="2.85546875" style="193" customWidth="1"/>
    <col min="15" max="15" width="6" style="194" customWidth="1"/>
    <col min="16" max="16" width="4.28515625" style="194" customWidth="1"/>
    <col min="17" max="17" width="7.140625" style="192" customWidth="1"/>
    <col min="18" max="18" width="2.85546875" style="193" customWidth="1"/>
    <col min="19" max="19" width="5.85546875" style="194" customWidth="1"/>
    <col min="20" max="20" width="4.28515625" style="194" customWidth="1"/>
    <col min="21" max="21" width="7.140625" style="192" customWidth="1"/>
    <col min="22" max="22" width="2.85546875" style="193" customWidth="1"/>
    <col min="23" max="23" width="6" style="194" customWidth="1"/>
    <col min="24" max="24" width="4.28515625" style="194" customWidth="1"/>
    <col min="25" max="25" width="7.140625" style="192" customWidth="1"/>
    <col min="26" max="26" width="2.85546875" style="193" customWidth="1"/>
    <col min="27" max="27" width="6" style="194" customWidth="1"/>
    <col min="28" max="28" width="4.28515625" style="192" customWidth="1"/>
    <col min="29" max="29" width="7.140625" style="192" customWidth="1"/>
    <col min="30" max="30" width="2.85546875" style="193" customWidth="1"/>
    <col min="31" max="31" width="6" style="194" customWidth="1"/>
    <col min="32" max="32" width="4.28515625" style="194" customWidth="1"/>
    <col min="33" max="33" width="7.140625" style="192" customWidth="1"/>
    <col min="34" max="34" width="2.85546875" style="193" customWidth="1"/>
    <col min="35" max="35" width="6" style="194" customWidth="1"/>
    <col min="36" max="36" width="4.28515625" style="194" customWidth="1"/>
    <col min="37" max="37" width="7.140625" style="192" customWidth="1"/>
    <col min="38" max="38" width="2.85546875" style="193" customWidth="1"/>
    <col min="39" max="39" width="6" style="194" customWidth="1"/>
    <col min="40" max="40" width="4.28515625" style="194" customWidth="1"/>
    <col min="41" max="41" width="7.140625" style="192" customWidth="1"/>
    <col min="42" max="42" width="2.85546875" style="193" customWidth="1"/>
    <col min="43" max="43" width="6" style="194" customWidth="1"/>
    <col min="44" max="44" width="4.28515625" style="194" customWidth="1"/>
    <col min="45" max="45" width="7.140625" style="192" customWidth="1"/>
    <col min="46" max="46" width="2.85546875" style="193" customWidth="1"/>
    <col min="47" max="47" width="6" style="194" customWidth="1"/>
    <col min="48" max="48" width="4.28515625" style="194" customWidth="1"/>
    <col min="49" max="50" width="3.28515625" style="194" customWidth="1"/>
    <col min="51" max="16384" width="11.42578125" style="194"/>
  </cols>
  <sheetData>
    <row r="1" spans="1:52" s="187" customFormat="1" ht="18.75" customHeight="1">
      <c r="A1" s="185" t="s">
        <v>156</v>
      </c>
      <c r="B1" s="186"/>
      <c r="E1" s="188" t="s">
        <v>157</v>
      </c>
      <c r="F1" s="564" t="str">
        <f>'Prépa planning SURV. INTERNAT'!D31</f>
        <v>ASREC CENTRE*</v>
      </c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W1" s="187" t="str">
        <f>'Prépa planning SURV. INTERNAT'!D32</f>
        <v>TOURS*</v>
      </c>
      <c r="AR1" s="187" t="s">
        <v>158</v>
      </c>
    </row>
    <row r="2" spans="1:52" s="189" customFormat="1" ht="16.5">
      <c r="A2" s="185" t="s">
        <v>159</v>
      </c>
      <c r="B2" s="186"/>
      <c r="C2" s="187"/>
      <c r="D2" s="187"/>
      <c r="E2" s="188" t="s">
        <v>157</v>
      </c>
      <c r="F2" s="564" t="str">
        <f>'Prépa planning SURV. INTERNAT'!D34</f>
        <v>MONSIEUR*</v>
      </c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187"/>
      <c r="U2" s="185" t="s">
        <v>160</v>
      </c>
      <c r="V2" s="190"/>
      <c r="W2" s="564" t="str">
        <f>'Prépa planning SURV. INTERNAT'!D35</f>
        <v>EMPLOYE*</v>
      </c>
      <c r="X2" s="564"/>
      <c r="Y2" s="564"/>
      <c r="Z2" s="564"/>
      <c r="AA2" s="564"/>
      <c r="AB2" s="564"/>
      <c r="AC2" s="564"/>
      <c r="AD2" s="564"/>
      <c r="AE2" s="564"/>
      <c r="AF2" s="564"/>
      <c r="AG2" s="564"/>
      <c r="AH2" s="564"/>
      <c r="AI2" s="564"/>
      <c r="AJ2" s="564"/>
      <c r="AK2" s="564"/>
      <c r="AL2" s="564"/>
      <c r="AM2" s="564"/>
      <c r="AN2" s="406"/>
      <c r="AO2" s="191"/>
      <c r="AP2" s="191"/>
      <c r="AQ2" s="191"/>
      <c r="AR2" s="191"/>
      <c r="AS2" s="191"/>
      <c r="AT2" s="191"/>
      <c r="AU2" s="191"/>
      <c r="AV2" s="191"/>
      <c r="AW2" s="187"/>
      <c r="AX2" s="187"/>
    </row>
    <row r="3" spans="1:52" ht="9.75" customHeight="1" thickBot="1"/>
    <row r="4" spans="1:52" ht="16.5" customHeight="1" thickBot="1">
      <c r="A4" s="195"/>
      <c r="B4" s="196"/>
      <c r="C4" s="576" t="s">
        <v>161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  <c r="O4" s="577"/>
      <c r="P4" s="577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8"/>
      <c r="AG4" s="194"/>
      <c r="AH4" s="194"/>
      <c r="AK4" s="194"/>
      <c r="AL4" s="194"/>
      <c r="AO4" s="194"/>
      <c r="AP4" s="194"/>
      <c r="AS4" s="194"/>
      <c r="AT4" s="194"/>
      <c r="AW4" s="197"/>
    </row>
    <row r="5" spans="1:52" ht="16.5" customHeight="1" thickBot="1">
      <c r="A5" s="195"/>
      <c r="B5" s="196"/>
      <c r="C5" s="579" t="s">
        <v>162</v>
      </c>
      <c r="D5" s="580"/>
      <c r="E5" s="580"/>
      <c r="F5" s="580"/>
      <c r="G5" s="580"/>
      <c r="H5" s="581"/>
      <c r="I5" s="572" t="s">
        <v>163</v>
      </c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4"/>
      <c r="Y5" s="579" t="s">
        <v>164</v>
      </c>
      <c r="Z5" s="580"/>
      <c r="AA5" s="580"/>
      <c r="AB5" s="580"/>
      <c r="AC5" s="580"/>
      <c r="AD5" s="580"/>
      <c r="AE5" s="580"/>
      <c r="AF5" s="581"/>
      <c r="AG5" s="194"/>
      <c r="AH5" s="194"/>
      <c r="AK5" s="194"/>
      <c r="AL5" s="194"/>
      <c r="AO5" s="194"/>
      <c r="AP5" s="194"/>
      <c r="AS5" s="194"/>
      <c r="AT5" s="194"/>
      <c r="AW5" s="197"/>
    </row>
    <row r="6" spans="1:52" ht="16.5" customHeight="1" thickBot="1">
      <c r="A6" s="196"/>
      <c r="B6" s="196"/>
      <c r="C6" s="582"/>
      <c r="D6" s="583"/>
      <c r="E6" s="583"/>
      <c r="F6" s="583"/>
      <c r="G6" s="583"/>
      <c r="H6" s="584"/>
      <c r="I6" s="570" t="s">
        <v>165</v>
      </c>
      <c r="J6" s="570"/>
      <c r="K6" s="570"/>
      <c r="L6" s="570"/>
      <c r="M6" s="570"/>
      <c r="N6" s="570"/>
      <c r="O6" s="570"/>
      <c r="P6" s="571"/>
      <c r="Q6" s="575" t="s">
        <v>166</v>
      </c>
      <c r="R6" s="570"/>
      <c r="S6" s="570"/>
      <c r="T6" s="570"/>
      <c r="U6" s="570"/>
      <c r="V6" s="570"/>
      <c r="W6" s="570"/>
      <c r="X6" s="571"/>
      <c r="Y6" s="582"/>
      <c r="Z6" s="583"/>
      <c r="AA6" s="583"/>
      <c r="AB6" s="583"/>
      <c r="AC6" s="583"/>
      <c r="AD6" s="583"/>
      <c r="AE6" s="583"/>
      <c r="AF6" s="584"/>
      <c r="AG6" s="566" t="s">
        <v>167</v>
      </c>
      <c r="AH6" s="567"/>
      <c r="AI6" s="567"/>
      <c r="AJ6" s="568"/>
      <c r="AK6" s="566" t="s">
        <v>168</v>
      </c>
      <c r="AL6" s="567"/>
      <c r="AM6" s="567"/>
      <c r="AN6" s="567"/>
      <c r="AO6" s="568"/>
      <c r="AP6" s="566" t="s">
        <v>169</v>
      </c>
      <c r="AQ6" s="567"/>
      <c r="AR6" s="567"/>
      <c r="AS6" s="567"/>
      <c r="AT6" s="567"/>
      <c r="AU6" s="567"/>
      <c r="AV6" s="568"/>
      <c r="AW6" s="197"/>
    </row>
    <row r="7" spans="1:52" ht="16.5" customHeight="1" thickBot="1">
      <c r="A7" s="560" t="s">
        <v>170</v>
      </c>
      <c r="B7" s="561"/>
      <c r="C7" s="198" t="s">
        <v>149</v>
      </c>
      <c r="D7" s="540"/>
      <c r="E7" s="542"/>
      <c r="F7" s="199" t="s">
        <v>150</v>
      </c>
      <c r="G7" s="540"/>
      <c r="H7" s="542"/>
      <c r="I7" s="200" t="s">
        <v>149</v>
      </c>
      <c r="J7" s="540"/>
      <c r="K7" s="541"/>
      <c r="L7" s="541"/>
      <c r="M7" s="201" t="s">
        <v>150</v>
      </c>
      <c r="N7" s="540"/>
      <c r="O7" s="541"/>
      <c r="P7" s="541"/>
      <c r="Q7" s="200" t="s">
        <v>149</v>
      </c>
      <c r="R7" s="540"/>
      <c r="S7" s="541"/>
      <c r="T7" s="541"/>
      <c r="U7" s="202" t="s">
        <v>150</v>
      </c>
      <c r="V7" s="540"/>
      <c r="W7" s="541"/>
      <c r="X7" s="541"/>
      <c r="Y7" s="308" t="s">
        <v>149</v>
      </c>
      <c r="Z7" s="540"/>
      <c r="AA7" s="541"/>
      <c r="AB7" s="542"/>
      <c r="AC7" s="309" t="s">
        <v>150</v>
      </c>
      <c r="AD7" s="540"/>
      <c r="AE7" s="541"/>
      <c r="AF7" s="585"/>
      <c r="AG7" s="203" t="s">
        <v>171</v>
      </c>
      <c r="AH7" s="522">
        <f t="shared" ref="AH7:AH12" si="0">IF(R7=0,(G7-D7)+(N7-J7)+(AD7-Z7),(G7-D7)+(N7-J7)+((V7-0)+(24-R7))+(AD7-Z7))</f>
        <v>0</v>
      </c>
      <c r="AI7" s="539"/>
      <c r="AJ7" s="523"/>
      <c r="AK7" s="537" t="s">
        <v>171</v>
      </c>
      <c r="AL7" s="538"/>
      <c r="AM7" s="522">
        <f t="shared" ref="AM7:AM12" si="1">IF(R7=0,(G7-D7)+(N7-J7)+(AD7-Z7),(G7-D7)+(N7-J7)+(((V7-0)+(24-R7))*45/100)+(AD7-Z7))</f>
        <v>0</v>
      </c>
      <c r="AN7" s="539"/>
      <c r="AO7" s="523"/>
      <c r="AP7" s="537" t="s">
        <v>171</v>
      </c>
      <c r="AQ7" s="538"/>
      <c r="AR7" s="550" t="str">
        <f t="shared" ref="AR7:AR12" si="2">IF(J7="","",IF(R7=0,(N7-21),(N7-21)+(((V7-0)+(24-R7))*45/100)))</f>
        <v/>
      </c>
      <c r="AS7" s="551"/>
      <c r="AT7" s="551"/>
      <c r="AU7" s="551"/>
      <c r="AV7" s="552"/>
      <c r="AW7" s="204"/>
      <c r="AY7" s="205" t="s">
        <v>76</v>
      </c>
      <c r="AZ7" s="189"/>
    </row>
    <row r="8" spans="1:52" ht="16.5" customHeight="1" thickBot="1">
      <c r="A8" s="556" t="s">
        <v>148</v>
      </c>
      <c r="B8" s="557"/>
      <c r="C8" s="206" t="s">
        <v>149</v>
      </c>
      <c r="D8" s="540"/>
      <c r="E8" s="542"/>
      <c r="F8" s="207" t="s">
        <v>150</v>
      </c>
      <c r="G8" s="540"/>
      <c r="H8" s="542"/>
      <c r="I8" s="208" t="s">
        <v>149</v>
      </c>
      <c r="J8" s="540"/>
      <c r="K8" s="541"/>
      <c r="L8" s="541"/>
      <c r="M8" s="209" t="s">
        <v>150</v>
      </c>
      <c r="N8" s="540"/>
      <c r="O8" s="541"/>
      <c r="P8" s="541"/>
      <c r="Q8" s="208" t="s">
        <v>149</v>
      </c>
      <c r="R8" s="540"/>
      <c r="S8" s="541"/>
      <c r="T8" s="541"/>
      <c r="U8" s="210" t="s">
        <v>150</v>
      </c>
      <c r="V8" s="540"/>
      <c r="W8" s="541"/>
      <c r="X8" s="541"/>
      <c r="Y8" s="311" t="s">
        <v>149</v>
      </c>
      <c r="Z8" s="540"/>
      <c r="AA8" s="541"/>
      <c r="AB8" s="542"/>
      <c r="AC8" s="310" t="s">
        <v>150</v>
      </c>
      <c r="AD8" s="540"/>
      <c r="AE8" s="541"/>
      <c r="AF8" s="585"/>
      <c r="AG8" s="203" t="s">
        <v>172</v>
      </c>
      <c r="AH8" s="522">
        <f t="shared" si="0"/>
        <v>0</v>
      </c>
      <c r="AI8" s="539"/>
      <c r="AJ8" s="523"/>
      <c r="AK8" s="537" t="s">
        <v>172</v>
      </c>
      <c r="AL8" s="538"/>
      <c r="AM8" s="522">
        <f t="shared" si="1"/>
        <v>0</v>
      </c>
      <c r="AN8" s="539"/>
      <c r="AO8" s="523"/>
      <c r="AP8" s="537" t="s">
        <v>172</v>
      </c>
      <c r="AQ8" s="538"/>
      <c r="AR8" s="550" t="str">
        <f t="shared" si="2"/>
        <v/>
      </c>
      <c r="AS8" s="551"/>
      <c r="AT8" s="551"/>
      <c r="AU8" s="551"/>
      <c r="AV8" s="552"/>
      <c r="AW8" s="204"/>
      <c r="AY8" s="211" t="s">
        <v>77</v>
      </c>
      <c r="AZ8" s="211" t="s">
        <v>78</v>
      </c>
    </row>
    <row r="9" spans="1:52" ht="17.100000000000001" customHeight="1" thickBot="1">
      <c r="A9" s="558" t="s">
        <v>151</v>
      </c>
      <c r="B9" s="559"/>
      <c r="C9" s="212" t="s">
        <v>149</v>
      </c>
      <c r="D9" s="540"/>
      <c r="E9" s="542"/>
      <c r="F9" s="213" t="s">
        <v>150</v>
      </c>
      <c r="G9" s="540"/>
      <c r="H9" s="542"/>
      <c r="I9" s="214" t="s">
        <v>149</v>
      </c>
      <c r="J9" s="540"/>
      <c r="K9" s="541"/>
      <c r="L9" s="541"/>
      <c r="M9" s="209" t="s">
        <v>150</v>
      </c>
      <c r="N9" s="540"/>
      <c r="O9" s="541"/>
      <c r="P9" s="541"/>
      <c r="Q9" s="214" t="s">
        <v>149</v>
      </c>
      <c r="R9" s="540"/>
      <c r="S9" s="541"/>
      <c r="T9" s="541"/>
      <c r="U9" s="215" t="s">
        <v>150</v>
      </c>
      <c r="V9" s="540"/>
      <c r="W9" s="541"/>
      <c r="X9" s="541"/>
      <c r="Y9" s="312" t="s">
        <v>149</v>
      </c>
      <c r="Z9" s="540"/>
      <c r="AA9" s="541"/>
      <c r="AB9" s="542"/>
      <c r="AC9" s="212" t="s">
        <v>150</v>
      </c>
      <c r="AD9" s="540"/>
      <c r="AE9" s="541"/>
      <c r="AF9" s="585"/>
      <c r="AG9" s="203" t="s">
        <v>173</v>
      </c>
      <c r="AH9" s="522">
        <f t="shared" si="0"/>
        <v>0</v>
      </c>
      <c r="AI9" s="539"/>
      <c r="AJ9" s="523"/>
      <c r="AK9" s="537" t="s">
        <v>173</v>
      </c>
      <c r="AL9" s="538"/>
      <c r="AM9" s="522">
        <f t="shared" si="1"/>
        <v>0</v>
      </c>
      <c r="AN9" s="539"/>
      <c r="AO9" s="523"/>
      <c r="AP9" s="537" t="s">
        <v>173</v>
      </c>
      <c r="AQ9" s="538"/>
      <c r="AR9" s="550" t="str">
        <f t="shared" si="2"/>
        <v/>
      </c>
      <c r="AS9" s="551"/>
      <c r="AT9" s="551"/>
      <c r="AU9" s="551"/>
      <c r="AV9" s="552"/>
      <c r="AW9" s="204"/>
      <c r="AY9" s="216">
        <v>30</v>
      </c>
      <c r="AZ9" s="217">
        <f>AY9/60*100</f>
        <v>50</v>
      </c>
    </row>
    <row r="10" spans="1:52" ht="17.100000000000001" customHeight="1" thickBot="1">
      <c r="A10" s="558" t="s">
        <v>152</v>
      </c>
      <c r="B10" s="559"/>
      <c r="C10" s="212" t="s">
        <v>149</v>
      </c>
      <c r="D10" s="540"/>
      <c r="E10" s="542"/>
      <c r="F10" s="213" t="s">
        <v>150</v>
      </c>
      <c r="G10" s="540"/>
      <c r="H10" s="542"/>
      <c r="I10" s="214" t="s">
        <v>149</v>
      </c>
      <c r="J10" s="540"/>
      <c r="K10" s="541"/>
      <c r="L10" s="541"/>
      <c r="M10" s="209" t="s">
        <v>150</v>
      </c>
      <c r="N10" s="540"/>
      <c r="O10" s="541"/>
      <c r="P10" s="541"/>
      <c r="Q10" s="214" t="s">
        <v>149</v>
      </c>
      <c r="R10" s="540"/>
      <c r="S10" s="541"/>
      <c r="T10" s="541"/>
      <c r="U10" s="215" t="s">
        <v>150</v>
      </c>
      <c r="V10" s="540"/>
      <c r="W10" s="541"/>
      <c r="X10" s="541"/>
      <c r="Y10" s="312" t="s">
        <v>149</v>
      </c>
      <c r="Z10" s="540"/>
      <c r="AA10" s="541"/>
      <c r="AB10" s="542"/>
      <c r="AC10" s="212" t="s">
        <v>150</v>
      </c>
      <c r="AD10" s="540"/>
      <c r="AE10" s="541"/>
      <c r="AF10" s="585"/>
      <c r="AG10" s="203" t="s">
        <v>173</v>
      </c>
      <c r="AH10" s="522">
        <f t="shared" si="0"/>
        <v>0</v>
      </c>
      <c r="AI10" s="539"/>
      <c r="AJ10" s="523"/>
      <c r="AK10" s="537" t="s">
        <v>173</v>
      </c>
      <c r="AL10" s="538"/>
      <c r="AM10" s="522">
        <f t="shared" si="1"/>
        <v>0</v>
      </c>
      <c r="AN10" s="539"/>
      <c r="AO10" s="523"/>
      <c r="AP10" s="537" t="s">
        <v>173</v>
      </c>
      <c r="AQ10" s="538"/>
      <c r="AR10" s="550" t="str">
        <f t="shared" si="2"/>
        <v/>
      </c>
      <c r="AS10" s="551"/>
      <c r="AT10" s="551"/>
      <c r="AU10" s="551"/>
      <c r="AV10" s="552"/>
      <c r="AW10" s="204"/>
    </row>
    <row r="11" spans="1:52" ht="17.100000000000001" customHeight="1" thickBot="1">
      <c r="A11" s="558" t="s">
        <v>153</v>
      </c>
      <c r="B11" s="559"/>
      <c r="C11" s="212" t="s">
        <v>149</v>
      </c>
      <c r="D11" s="540"/>
      <c r="E11" s="542"/>
      <c r="F11" s="213" t="s">
        <v>150</v>
      </c>
      <c r="G11" s="540"/>
      <c r="H11" s="542"/>
      <c r="I11" s="214" t="s">
        <v>149</v>
      </c>
      <c r="J11" s="540"/>
      <c r="K11" s="541"/>
      <c r="L11" s="541"/>
      <c r="M11" s="209" t="s">
        <v>150</v>
      </c>
      <c r="N11" s="540"/>
      <c r="O11" s="541"/>
      <c r="P11" s="541"/>
      <c r="Q11" s="214" t="s">
        <v>149</v>
      </c>
      <c r="R11" s="540"/>
      <c r="S11" s="541"/>
      <c r="T11" s="541"/>
      <c r="U11" s="215" t="s">
        <v>150</v>
      </c>
      <c r="V11" s="540"/>
      <c r="W11" s="541"/>
      <c r="X11" s="541"/>
      <c r="Y11" s="312" t="s">
        <v>149</v>
      </c>
      <c r="Z11" s="540"/>
      <c r="AA11" s="541"/>
      <c r="AB11" s="542"/>
      <c r="AC11" s="212" t="s">
        <v>150</v>
      </c>
      <c r="AD11" s="540"/>
      <c r="AE11" s="541"/>
      <c r="AF11" s="585"/>
      <c r="AG11" s="203" t="s">
        <v>174</v>
      </c>
      <c r="AH11" s="522">
        <f t="shared" si="0"/>
        <v>0</v>
      </c>
      <c r="AI11" s="539"/>
      <c r="AJ11" s="523"/>
      <c r="AK11" s="537" t="s">
        <v>174</v>
      </c>
      <c r="AL11" s="538"/>
      <c r="AM11" s="522">
        <f t="shared" si="1"/>
        <v>0</v>
      </c>
      <c r="AN11" s="539"/>
      <c r="AO11" s="523"/>
      <c r="AP11" s="537" t="s">
        <v>174</v>
      </c>
      <c r="AQ11" s="538"/>
      <c r="AR11" s="550" t="str">
        <f t="shared" si="2"/>
        <v/>
      </c>
      <c r="AS11" s="551"/>
      <c r="AT11" s="551"/>
      <c r="AU11" s="551"/>
      <c r="AV11" s="552"/>
      <c r="AW11" s="204"/>
    </row>
    <row r="12" spans="1:52" ht="17.25" thickBot="1">
      <c r="A12" s="562" t="s">
        <v>154</v>
      </c>
      <c r="B12" s="563"/>
      <c r="C12" s="218" t="s">
        <v>149</v>
      </c>
      <c r="D12" s="540"/>
      <c r="E12" s="542"/>
      <c r="F12" s="219" t="s">
        <v>150</v>
      </c>
      <c r="G12" s="540"/>
      <c r="H12" s="542"/>
      <c r="I12" s="220" t="s">
        <v>149</v>
      </c>
      <c r="J12" s="540"/>
      <c r="K12" s="541"/>
      <c r="L12" s="541"/>
      <c r="M12" s="221" t="s">
        <v>150</v>
      </c>
      <c r="N12" s="540"/>
      <c r="O12" s="541"/>
      <c r="P12" s="541"/>
      <c r="Q12" s="220" t="s">
        <v>149</v>
      </c>
      <c r="R12" s="540"/>
      <c r="S12" s="541"/>
      <c r="T12" s="541"/>
      <c r="U12" s="222" t="s">
        <v>150</v>
      </c>
      <c r="V12" s="540"/>
      <c r="W12" s="541"/>
      <c r="X12" s="541"/>
      <c r="Y12" s="313" t="s">
        <v>149</v>
      </c>
      <c r="Z12" s="540"/>
      <c r="AA12" s="541"/>
      <c r="AB12" s="542"/>
      <c r="AC12" s="218" t="s">
        <v>150</v>
      </c>
      <c r="AD12" s="540"/>
      <c r="AE12" s="541"/>
      <c r="AF12" s="585"/>
      <c r="AG12" s="203" t="s">
        <v>175</v>
      </c>
      <c r="AH12" s="522">
        <f t="shared" si="0"/>
        <v>0</v>
      </c>
      <c r="AI12" s="539"/>
      <c r="AJ12" s="523"/>
      <c r="AK12" s="537" t="s">
        <v>175</v>
      </c>
      <c r="AL12" s="538"/>
      <c r="AM12" s="522">
        <f t="shared" si="1"/>
        <v>0</v>
      </c>
      <c r="AN12" s="539"/>
      <c r="AO12" s="523"/>
      <c r="AP12" s="537" t="s">
        <v>175</v>
      </c>
      <c r="AQ12" s="538"/>
      <c r="AR12" s="550" t="str">
        <f t="shared" si="2"/>
        <v/>
      </c>
      <c r="AS12" s="551"/>
      <c r="AT12" s="551"/>
      <c r="AU12" s="551"/>
      <c r="AV12" s="552"/>
      <c r="AW12" s="204"/>
    </row>
    <row r="13" spans="1:52" ht="17.25" thickBot="1">
      <c r="A13" s="223"/>
      <c r="B13" s="192"/>
      <c r="C13" s="224"/>
      <c r="D13" s="224"/>
      <c r="E13" s="225"/>
      <c r="F13" s="192"/>
      <c r="G13" s="225"/>
      <c r="H13" s="225"/>
      <c r="I13" s="224"/>
      <c r="J13" s="226"/>
      <c r="K13" s="226"/>
      <c r="L13" s="226"/>
      <c r="M13" s="226"/>
      <c r="N13" s="226"/>
      <c r="O13" s="226"/>
      <c r="P13" s="226"/>
      <c r="Q13" s="224"/>
      <c r="R13" s="226"/>
      <c r="S13" s="226"/>
      <c r="T13" s="226"/>
      <c r="U13" s="226"/>
      <c r="V13" s="226"/>
      <c r="W13" s="226"/>
      <c r="X13" s="226"/>
      <c r="AB13" s="224"/>
      <c r="AC13" s="224"/>
      <c r="AD13" s="227"/>
      <c r="AE13" s="227"/>
      <c r="AF13" s="227"/>
      <c r="AG13" s="228" t="s">
        <v>147</v>
      </c>
      <c r="AH13" s="569">
        <f>SUM(AH7:AH12)</f>
        <v>0</v>
      </c>
      <c r="AI13" s="546"/>
      <c r="AJ13" s="547"/>
      <c r="AK13" s="535" t="s">
        <v>147</v>
      </c>
      <c r="AL13" s="536"/>
      <c r="AM13" s="546">
        <f>SUM(AM7:AM12)</f>
        <v>0</v>
      </c>
      <c r="AN13" s="546"/>
      <c r="AO13" s="547"/>
      <c r="AP13" s="548" t="s">
        <v>147</v>
      </c>
      <c r="AQ13" s="549"/>
      <c r="AR13" s="553">
        <f>SUM(AR7:AR12)</f>
        <v>0</v>
      </c>
      <c r="AS13" s="554"/>
      <c r="AT13" s="554"/>
      <c r="AU13" s="554"/>
      <c r="AV13" s="555"/>
      <c r="AW13" s="223"/>
    </row>
    <row r="14" spans="1:52" ht="9.75" customHeight="1" thickBot="1"/>
    <row r="15" spans="1:52" s="229" customFormat="1" ht="11.25" customHeight="1" thickBot="1">
      <c r="A15" s="532" t="s">
        <v>176</v>
      </c>
      <c r="B15" s="533"/>
      <c r="C15" s="543"/>
      <c r="D15" s="544"/>
      <c r="E15" s="532" t="s">
        <v>177</v>
      </c>
      <c r="F15" s="533"/>
      <c r="G15" s="543"/>
      <c r="H15" s="544"/>
      <c r="I15" s="532" t="s">
        <v>178</v>
      </c>
      <c r="J15" s="533"/>
      <c r="K15" s="543"/>
      <c r="L15" s="544"/>
      <c r="M15" s="532" t="s">
        <v>179</v>
      </c>
      <c r="N15" s="533"/>
      <c r="O15" s="543"/>
      <c r="P15" s="544"/>
      <c r="Q15" s="532" t="s">
        <v>180</v>
      </c>
      <c r="R15" s="533"/>
      <c r="S15" s="543"/>
      <c r="T15" s="544"/>
      <c r="U15" s="532" t="s">
        <v>181</v>
      </c>
      <c r="V15" s="533"/>
      <c r="W15" s="543"/>
      <c r="X15" s="544"/>
      <c r="Y15" s="532" t="s">
        <v>182</v>
      </c>
      <c r="Z15" s="533"/>
      <c r="AA15" s="543"/>
      <c r="AB15" s="544"/>
      <c r="AC15" s="532" t="s">
        <v>183</v>
      </c>
      <c r="AD15" s="533"/>
      <c r="AE15" s="533"/>
      <c r="AF15" s="534"/>
      <c r="AG15" s="532" t="s">
        <v>184</v>
      </c>
      <c r="AH15" s="533"/>
      <c r="AI15" s="543"/>
      <c r="AJ15" s="544"/>
      <c r="AK15" s="532" t="s">
        <v>185</v>
      </c>
      <c r="AL15" s="533"/>
      <c r="AM15" s="543"/>
      <c r="AN15" s="544"/>
      <c r="AO15" s="532" t="s">
        <v>186</v>
      </c>
      <c r="AP15" s="533"/>
      <c r="AQ15" s="543"/>
      <c r="AR15" s="544"/>
      <c r="AS15" s="532" t="s">
        <v>187</v>
      </c>
      <c r="AT15" s="533"/>
      <c r="AU15" s="533"/>
      <c r="AV15" s="534"/>
    </row>
    <row r="16" spans="1:52" s="189" customFormat="1" ht="10.7" customHeight="1" thickBot="1">
      <c r="A16" s="230" t="s">
        <v>148</v>
      </c>
      <c r="B16" s="231">
        <v>1</v>
      </c>
      <c r="C16" s="350">
        <f>IF(A16=0,0,$AM8)</f>
        <v>0</v>
      </c>
      <c r="D16" s="232"/>
      <c r="E16" s="233" t="s">
        <v>152</v>
      </c>
      <c r="F16" s="231">
        <v>1</v>
      </c>
      <c r="G16" s="350">
        <f>IF(E16=0,0,$AM10)</f>
        <v>0</v>
      </c>
      <c r="H16" s="232"/>
      <c r="I16" s="233" t="s">
        <v>155</v>
      </c>
      <c r="J16" s="234">
        <v>1</v>
      </c>
      <c r="K16" s="235" t="s">
        <v>188</v>
      </c>
      <c r="L16" s="236">
        <f>SUM(G42:G46,K16)</f>
        <v>0</v>
      </c>
      <c r="M16" s="233" t="s">
        <v>148</v>
      </c>
      <c r="N16" s="237">
        <v>1</v>
      </c>
      <c r="O16" s="350">
        <f>IF(M16=0,0,$AM8)</f>
        <v>0</v>
      </c>
      <c r="P16" s="232"/>
      <c r="Q16" s="233" t="s">
        <v>153</v>
      </c>
      <c r="R16" s="234">
        <v>1</v>
      </c>
      <c r="S16" s="235"/>
      <c r="T16" s="365" t="s">
        <v>189</v>
      </c>
      <c r="U16" s="233" t="s">
        <v>170</v>
      </c>
      <c r="V16" s="237">
        <v>1</v>
      </c>
      <c r="W16" s="350">
        <f t="shared" ref="W16:W21" si="3">IF(U16=0,0,$AM7)</f>
        <v>0</v>
      </c>
      <c r="X16" s="232"/>
      <c r="Y16" s="238" t="s">
        <v>170</v>
      </c>
      <c r="Z16" s="240">
        <v>1</v>
      </c>
      <c r="AA16" s="353"/>
      <c r="AB16" s="239"/>
      <c r="AC16" s="233" t="s">
        <v>152</v>
      </c>
      <c r="AD16" s="231">
        <v>1</v>
      </c>
      <c r="AE16" s="350">
        <f>IF(AC16=0,0,$AM10)</f>
        <v>0</v>
      </c>
      <c r="AF16" s="232"/>
      <c r="AG16" s="233" t="s">
        <v>154</v>
      </c>
      <c r="AH16" s="240">
        <v>1</v>
      </c>
      <c r="AI16" s="235"/>
      <c r="AJ16" s="365" t="s">
        <v>235</v>
      </c>
      <c r="AK16" s="233" t="s">
        <v>148</v>
      </c>
      <c r="AL16" s="231">
        <v>1</v>
      </c>
      <c r="AM16" s="350">
        <f>IF(AK16=0,0,$AM8)</f>
        <v>0</v>
      </c>
      <c r="AN16" s="232"/>
      <c r="AO16" s="233" t="s">
        <v>152</v>
      </c>
      <c r="AP16" s="237">
        <v>1</v>
      </c>
      <c r="AQ16" s="350">
        <f>IF(AO16=0,0,$AM10)</f>
        <v>0</v>
      </c>
      <c r="AR16" s="232"/>
      <c r="AS16" s="238" t="s">
        <v>155</v>
      </c>
      <c r="AT16" s="245">
        <v>1</v>
      </c>
      <c r="AU16" s="351">
        <f>IF(AS16=0,0,' Horaires hors période scolaire'!$N10)</f>
        <v>0</v>
      </c>
      <c r="AV16" s="249">
        <f>SUM(AQ41:AQ46,AU16)</f>
        <v>0</v>
      </c>
      <c r="AY16" s="241"/>
    </row>
    <row r="17" spans="1:51" s="189" customFormat="1" ht="10.7" customHeight="1" thickBot="1">
      <c r="A17" s="242" t="s">
        <v>151</v>
      </c>
      <c r="B17" s="243">
        <v>2</v>
      </c>
      <c r="C17" s="351">
        <f>IF(A17=0,0,$AM9)</f>
        <v>0</v>
      </c>
      <c r="D17" s="244"/>
      <c r="E17" s="238" t="s">
        <v>153</v>
      </c>
      <c r="F17" s="243">
        <v>2</v>
      </c>
      <c r="G17" s="351">
        <f>IF(E17=0,0,$AM11)</f>
        <v>0</v>
      </c>
      <c r="H17" s="244"/>
      <c r="I17" s="238" t="s">
        <v>170</v>
      </c>
      <c r="J17" s="245">
        <v>2</v>
      </c>
      <c r="K17" s="354">
        <f>+IF(I17=0,0,$AM7)</f>
        <v>0</v>
      </c>
      <c r="L17" s="244"/>
      <c r="M17" s="238" t="s">
        <v>151</v>
      </c>
      <c r="N17" s="246">
        <v>2</v>
      </c>
      <c r="O17" s="351">
        <f>IF(M17=0,0,$AM9)</f>
        <v>0</v>
      </c>
      <c r="P17" s="244"/>
      <c r="Q17" s="238" t="s">
        <v>154</v>
      </c>
      <c r="R17" s="245">
        <v>2</v>
      </c>
      <c r="S17" s="351">
        <f>IF(Q17=0,0,' Horaires hors période scolaire'!$N9)</f>
        <v>0</v>
      </c>
      <c r="T17" s="244"/>
      <c r="U17" s="238" t="s">
        <v>148</v>
      </c>
      <c r="V17" s="246">
        <v>2</v>
      </c>
      <c r="W17" s="351">
        <f t="shared" si="3"/>
        <v>0</v>
      </c>
      <c r="X17" s="244"/>
      <c r="Y17" s="238" t="s">
        <v>148</v>
      </c>
      <c r="Z17" s="245">
        <v>2</v>
      </c>
      <c r="AA17" s="351">
        <f>IF(Y17=0,0,' Horaires hors période scolaire'!N5)</f>
        <v>0</v>
      </c>
      <c r="AB17" s="247"/>
      <c r="AC17" s="238" t="s">
        <v>153</v>
      </c>
      <c r="AD17" s="243">
        <v>2</v>
      </c>
      <c r="AE17" s="351">
        <f>IF(AC17=0,0,$AM11)</f>
        <v>0</v>
      </c>
      <c r="AF17" s="244"/>
      <c r="AG17" s="238" t="s">
        <v>155</v>
      </c>
      <c r="AH17" s="245">
        <v>2</v>
      </c>
      <c r="AI17" s="351">
        <f>IF(AG17=0,0,' Horaires hors période scolaire'!$N10)</f>
        <v>0</v>
      </c>
      <c r="AJ17" s="249">
        <f>SUM(AE42:AE45,AI16:AI17)</f>
        <v>0</v>
      </c>
      <c r="AK17" s="238" t="s">
        <v>151</v>
      </c>
      <c r="AL17" s="243">
        <v>2</v>
      </c>
      <c r="AM17" s="351">
        <f>IF(AK17=0,0,$AM9)</f>
        <v>0</v>
      </c>
      <c r="AN17" s="244"/>
      <c r="AO17" s="238" t="s">
        <v>153</v>
      </c>
      <c r="AP17" s="243">
        <v>2</v>
      </c>
      <c r="AQ17" s="351">
        <f>IF(AO17=0,0,$AM11)</f>
        <v>0</v>
      </c>
      <c r="AR17" s="244"/>
      <c r="AS17" s="238" t="s">
        <v>170</v>
      </c>
      <c r="AT17" s="245">
        <v>2</v>
      </c>
      <c r="AU17" s="359"/>
      <c r="AV17" s="232"/>
      <c r="AY17" s="241"/>
    </row>
    <row r="18" spans="1:51" s="189" customFormat="1" ht="10.7" customHeight="1" thickBot="1">
      <c r="A18" s="242" t="s">
        <v>152</v>
      </c>
      <c r="B18" s="243">
        <v>3</v>
      </c>
      <c r="C18" s="351">
        <f>IF(A18=0,0,$AM10)</f>
        <v>0</v>
      </c>
      <c r="D18" s="244"/>
      <c r="E18" s="238" t="s">
        <v>154</v>
      </c>
      <c r="F18" s="243">
        <v>3</v>
      </c>
      <c r="G18" s="351">
        <f>IF(E18=0,0,$AM12)</f>
        <v>0</v>
      </c>
      <c r="H18" s="244"/>
      <c r="I18" s="238" t="s">
        <v>148</v>
      </c>
      <c r="J18" s="243">
        <v>3</v>
      </c>
      <c r="K18" s="354">
        <f>IF(I18=0,0,$AM8)</f>
        <v>0</v>
      </c>
      <c r="L18" s="244"/>
      <c r="M18" s="238" t="s">
        <v>152</v>
      </c>
      <c r="N18" s="246">
        <v>3</v>
      </c>
      <c r="O18" s="351">
        <f>IF(M18=0,0,$AM10)</f>
        <v>0</v>
      </c>
      <c r="P18" s="244"/>
      <c r="Q18" s="238" t="s">
        <v>155</v>
      </c>
      <c r="R18" s="245">
        <v>3</v>
      </c>
      <c r="S18" s="351">
        <f>IF(Q18=0,0,' Horaires hors période scolaire'!$N10)</f>
        <v>0</v>
      </c>
      <c r="T18" s="249">
        <f>SUM(O44:O46,S16:S18)</f>
        <v>0</v>
      </c>
      <c r="U18" s="238" t="s">
        <v>151</v>
      </c>
      <c r="V18" s="246">
        <v>3</v>
      </c>
      <c r="W18" s="351">
        <f t="shared" si="3"/>
        <v>0</v>
      </c>
      <c r="X18" s="244"/>
      <c r="Y18" s="238" t="s">
        <v>151</v>
      </c>
      <c r="Z18" s="245">
        <v>3</v>
      </c>
      <c r="AA18" s="351">
        <f>IF(Y18=0,0,' Horaires hors période scolaire'!N6)</f>
        <v>0</v>
      </c>
      <c r="AB18" s="247"/>
      <c r="AC18" s="238" t="s">
        <v>154</v>
      </c>
      <c r="AD18" s="243">
        <v>3</v>
      </c>
      <c r="AE18" s="351">
        <f>IF(AC18=0,0,$AM12)</f>
        <v>0</v>
      </c>
      <c r="AF18" s="244"/>
      <c r="AG18" s="238" t="s">
        <v>170</v>
      </c>
      <c r="AH18" s="245">
        <v>3</v>
      </c>
      <c r="AI18" s="350">
        <f>IF(AG18=0,0,$AM7)</f>
        <v>0</v>
      </c>
      <c r="AJ18" s="232"/>
      <c r="AK18" s="238" t="s">
        <v>152</v>
      </c>
      <c r="AL18" s="246">
        <v>3</v>
      </c>
      <c r="AM18" s="351">
        <f>IF(AK18=0,0,$AM10)</f>
        <v>0</v>
      </c>
      <c r="AN18" s="244"/>
      <c r="AO18" s="238" t="s">
        <v>154</v>
      </c>
      <c r="AP18" s="243">
        <v>3</v>
      </c>
      <c r="AQ18" s="351">
        <f>IF(AO18=0,0,$AM12)</f>
        <v>0</v>
      </c>
      <c r="AR18" s="244"/>
      <c r="AS18" s="238" t="s">
        <v>148</v>
      </c>
      <c r="AT18" s="245">
        <v>3</v>
      </c>
      <c r="AU18" s="351">
        <f>IF(AS18=0,0,' Horaires hors période scolaire'!$N5)</f>
        <v>0</v>
      </c>
      <c r="AV18" s="244"/>
      <c r="AY18" s="241"/>
    </row>
    <row r="19" spans="1:51" s="189" customFormat="1" ht="10.7" customHeight="1" thickBot="1">
      <c r="A19" s="242" t="s">
        <v>153</v>
      </c>
      <c r="B19" s="243">
        <v>4</v>
      </c>
      <c r="C19" s="351">
        <f>IF(A19=0,0,$AM11)</f>
        <v>0</v>
      </c>
      <c r="D19" s="244"/>
      <c r="E19" s="238" t="s">
        <v>155</v>
      </c>
      <c r="F19" s="243">
        <v>4</v>
      </c>
      <c r="G19" s="356"/>
      <c r="H19" s="249">
        <f>SUM(C43:C45,G16:G18)</f>
        <v>0</v>
      </c>
      <c r="I19" s="238" t="s">
        <v>151</v>
      </c>
      <c r="J19" s="243">
        <v>4</v>
      </c>
      <c r="K19" s="354">
        <f>IF(I19=0,0,$AM9)</f>
        <v>0</v>
      </c>
      <c r="L19" s="244"/>
      <c r="M19" s="238" t="s">
        <v>153</v>
      </c>
      <c r="N19" s="246">
        <v>4</v>
      </c>
      <c r="O19" s="351">
        <f>IF(M19=0,0,$AM11)</f>
        <v>0</v>
      </c>
      <c r="P19" s="244"/>
      <c r="Q19" s="238" t="s">
        <v>170</v>
      </c>
      <c r="R19" s="245">
        <v>4</v>
      </c>
      <c r="S19" s="353">
        <f t="shared" ref="S19:S24" si="4">IF(Q19=0,0,$AM7)</f>
        <v>0</v>
      </c>
      <c r="T19" s="232"/>
      <c r="U19" s="238" t="s">
        <v>152</v>
      </c>
      <c r="V19" s="246">
        <v>4</v>
      </c>
      <c r="W19" s="351">
        <f t="shared" si="3"/>
        <v>0</v>
      </c>
      <c r="X19" s="244"/>
      <c r="Y19" s="238" t="s">
        <v>152</v>
      </c>
      <c r="Z19" s="245">
        <v>4</v>
      </c>
      <c r="AA19" s="351">
        <f>IF(Y19=0,0,' Horaires hors période scolaire'!N7)</f>
        <v>0</v>
      </c>
      <c r="AB19" s="247"/>
      <c r="AC19" s="238" t="s">
        <v>155</v>
      </c>
      <c r="AD19" s="243">
        <v>4</v>
      </c>
      <c r="AE19" s="355"/>
      <c r="AF19" s="249">
        <f>SUM(AA44:AA46,AE16:AE18)</f>
        <v>0</v>
      </c>
      <c r="AG19" s="238" t="s">
        <v>148</v>
      </c>
      <c r="AH19" s="243">
        <v>4</v>
      </c>
      <c r="AI19" s="351">
        <f>IF(AG19=0,0,$AM8)</f>
        <v>0</v>
      </c>
      <c r="AJ19" s="244"/>
      <c r="AK19" s="238" t="s">
        <v>153</v>
      </c>
      <c r="AL19" s="246">
        <v>4</v>
      </c>
      <c r="AM19" s="351">
        <f>IF(AK19=0,0,$AM11)</f>
        <v>0</v>
      </c>
      <c r="AN19" s="244"/>
      <c r="AO19" s="238" t="s">
        <v>155</v>
      </c>
      <c r="AP19" s="245">
        <v>4</v>
      </c>
      <c r="AQ19" s="355"/>
      <c r="AR19" s="249">
        <f>SUM(AM43:AM45,AQ16:AQ18)</f>
        <v>0</v>
      </c>
      <c r="AS19" s="238" t="s">
        <v>151</v>
      </c>
      <c r="AT19" s="245">
        <v>4</v>
      </c>
      <c r="AU19" s="351">
        <f>IF(AS19=0,0,' Horaires hors période scolaire'!$N6)</f>
        <v>0</v>
      </c>
      <c r="AV19" s="244"/>
      <c r="AY19" s="241"/>
    </row>
    <row r="20" spans="1:51" s="189" customFormat="1" ht="10.7" customHeight="1">
      <c r="A20" s="242" t="s">
        <v>154</v>
      </c>
      <c r="B20" s="243">
        <v>5</v>
      </c>
      <c r="C20" s="351">
        <f>IF(A20=0,0,$AM12)</f>
        <v>0</v>
      </c>
      <c r="D20" s="244"/>
      <c r="E20" s="238" t="s">
        <v>170</v>
      </c>
      <c r="F20" s="243">
        <v>5</v>
      </c>
      <c r="G20" s="350">
        <f t="shared" ref="G20:G25" si="5">IF(E20=0,0,$AM7)</f>
        <v>0</v>
      </c>
      <c r="H20" s="232"/>
      <c r="I20" s="238" t="s">
        <v>152</v>
      </c>
      <c r="J20" s="243">
        <v>5</v>
      </c>
      <c r="K20" s="354">
        <f>IF(I20=0,0,$AM10)</f>
        <v>0</v>
      </c>
      <c r="L20" s="244"/>
      <c r="M20" s="238" t="s">
        <v>154</v>
      </c>
      <c r="N20" s="246">
        <v>5</v>
      </c>
      <c r="O20" s="351">
        <f>IF(M20=0,0,$AM12)</f>
        <v>0</v>
      </c>
      <c r="P20" s="244"/>
      <c r="Q20" s="238" t="s">
        <v>148</v>
      </c>
      <c r="R20" s="243">
        <v>5</v>
      </c>
      <c r="S20" s="354">
        <f t="shared" si="4"/>
        <v>0</v>
      </c>
      <c r="T20" s="244"/>
      <c r="U20" s="238" t="s">
        <v>153</v>
      </c>
      <c r="V20" s="246">
        <v>5</v>
      </c>
      <c r="W20" s="351">
        <f t="shared" si="3"/>
        <v>0</v>
      </c>
      <c r="X20" s="244"/>
      <c r="Y20" s="238" t="s">
        <v>153</v>
      </c>
      <c r="Z20" s="245">
        <v>5</v>
      </c>
      <c r="AA20" s="351">
        <f>IF(Y20=0,0,' Horaires hors période scolaire'!N8)</f>
        <v>0</v>
      </c>
      <c r="AB20" s="247"/>
      <c r="AC20" s="238" t="s">
        <v>170</v>
      </c>
      <c r="AD20" s="243">
        <v>5</v>
      </c>
      <c r="AE20" s="351"/>
      <c r="AF20" s="232"/>
      <c r="AG20" s="238" t="s">
        <v>151</v>
      </c>
      <c r="AH20" s="243">
        <v>5</v>
      </c>
      <c r="AI20" s="351">
        <f>IF(AG20=0,0,$AM9)</f>
        <v>0</v>
      </c>
      <c r="AJ20" s="244"/>
      <c r="AK20" s="238" t="s">
        <v>154</v>
      </c>
      <c r="AL20" s="243">
        <v>5</v>
      </c>
      <c r="AM20" s="351">
        <f>IF(AK20=0,0,$AM12)</f>
        <v>0</v>
      </c>
      <c r="AN20" s="244"/>
      <c r="AO20" s="238" t="s">
        <v>170</v>
      </c>
      <c r="AP20" s="245">
        <v>5</v>
      </c>
      <c r="AQ20" s="351"/>
      <c r="AR20" s="232"/>
      <c r="AS20" s="238" t="s">
        <v>152</v>
      </c>
      <c r="AT20" s="245">
        <v>5</v>
      </c>
      <c r="AU20" s="351">
        <f>IF(AS20=0,0,' Horaires hors période scolaire'!$N7)</f>
        <v>0</v>
      </c>
      <c r="AV20" s="244"/>
      <c r="AY20" s="241"/>
    </row>
    <row r="21" spans="1:51" s="189" customFormat="1" ht="10.7" customHeight="1" thickBot="1">
      <c r="A21" s="242" t="s">
        <v>155</v>
      </c>
      <c r="B21" s="243">
        <v>6</v>
      </c>
      <c r="C21" s="352"/>
      <c r="D21" s="252">
        <f>SUM(C16:C20)</f>
        <v>0</v>
      </c>
      <c r="E21" s="238" t="s">
        <v>148</v>
      </c>
      <c r="F21" s="243">
        <v>6</v>
      </c>
      <c r="G21" s="351">
        <f t="shared" si="5"/>
        <v>0</v>
      </c>
      <c r="H21" s="244"/>
      <c r="I21" s="238" t="s">
        <v>153</v>
      </c>
      <c r="J21" s="243">
        <v>6</v>
      </c>
      <c r="K21" s="354">
        <f>IF(I21=0,0,$AM11)</f>
        <v>0</v>
      </c>
      <c r="L21" s="244"/>
      <c r="M21" s="238" t="s">
        <v>155</v>
      </c>
      <c r="N21" s="246">
        <v>6</v>
      </c>
      <c r="O21" s="314"/>
      <c r="P21" s="249">
        <f>SUM(K45,O16:O20)</f>
        <v>0</v>
      </c>
      <c r="Q21" s="238" t="s">
        <v>151</v>
      </c>
      <c r="R21" s="243">
        <v>6</v>
      </c>
      <c r="S21" s="354">
        <f t="shared" si="4"/>
        <v>0</v>
      </c>
      <c r="T21" s="244"/>
      <c r="U21" s="238" t="s">
        <v>154</v>
      </c>
      <c r="V21" s="243">
        <v>6</v>
      </c>
      <c r="W21" s="351">
        <f t="shared" si="3"/>
        <v>0</v>
      </c>
      <c r="X21" s="244"/>
      <c r="Y21" s="238" t="s">
        <v>154</v>
      </c>
      <c r="Z21" s="245">
        <v>6</v>
      </c>
      <c r="AA21" s="351">
        <f>IF(Y21=0,0,' Horaires hors période scolaire'!N9)</f>
        <v>0</v>
      </c>
      <c r="AB21" s="247"/>
      <c r="AC21" s="238" t="s">
        <v>148</v>
      </c>
      <c r="AD21" s="253">
        <v>6</v>
      </c>
      <c r="AE21" s="363">
        <f>IF(AC21=0,0,$AM8)</f>
        <v>0</v>
      </c>
      <c r="AF21" s="364" t="s">
        <v>191</v>
      </c>
      <c r="AG21" s="238" t="s">
        <v>152</v>
      </c>
      <c r="AH21" s="243">
        <v>6</v>
      </c>
      <c r="AI21" s="351">
        <f>IF(AG21=0,0,$AM10)</f>
        <v>0</v>
      </c>
      <c r="AJ21" s="244"/>
      <c r="AK21" s="238" t="s">
        <v>155</v>
      </c>
      <c r="AL21" s="243">
        <v>6</v>
      </c>
      <c r="AM21" s="355"/>
      <c r="AN21" s="249">
        <f>SUM(AI46,AM16:AM20)</f>
        <v>0</v>
      </c>
      <c r="AO21" s="238" t="s">
        <v>148</v>
      </c>
      <c r="AP21" s="245">
        <v>6</v>
      </c>
      <c r="AQ21" s="351">
        <f>IF(AO21=0,0,' Horaires hors période scolaire'!$N5)</f>
        <v>0</v>
      </c>
      <c r="AR21" s="244"/>
      <c r="AS21" s="238" t="s">
        <v>153</v>
      </c>
      <c r="AT21" s="245">
        <v>6</v>
      </c>
      <c r="AU21" s="351">
        <f>IF(AS21=0,0,' Horaires hors période scolaire'!$N8)</f>
        <v>0</v>
      </c>
      <c r="AV21" s="244"/>
    </row>
    <row r="22" spans="1:51" s="189" customFormat="1" ht="10.7" customHeight="1" thickBot="1">
      <c r="A22" s="242" t="s">
        <v>170</v>
      </c>
      <c r="B22" s="243">
        <v>7</v>
      </c>
      <c r="C22" s="353">
        <f t="shared" ref="C22:C27" si="6">IF(A22=0,0,$AM7)</f>
        <v>0</v>
      </c>
      <c r="D22" s="232"/>
      <c r="E22" s="238" t="s">
        <v>151</v>
      </c>
      <c r="F22" s="243">
        <v>7</v>
      </c>
      <c r="G22" s="351">
        <f t="shared" si="5"/>
        <v>0</v>
      </c>
      <c r="H22" s="244"/>
      <c r="I22" s="238" t="s">
        <v>154</v>
      </c>
      <c r="J22" s="243">
        <v>7</v>
      </c>
      <c r="K22" s="354">
        <f>IF(I22=0,0,$AM12)</f>
        <v>0</v>
      </c>
      <c r="L22" s="244"/>
      <c r="M22" s="238" t="s">
        <v>170</v>
      </c>
      <c r="N22" s="246">
        <v>7</v>
      </c>
      <c r="O22" s="350">
        <f t="shared" ref="O22:O27" si="7">IF(M22=0,0,$AM7)</f>
        <v>0</v>
      </c>
      <c r="P22" s="232"/>
      <c r="Q22" s="238" t="s">
        <v>152</v>
      </c>
      <c r="R22" s="243">
        <v>7</v>
      </c>
      <c r="S22" s="354">
        <f t="shared" si="4"/>
        <v>0</v>
      </c>
      <c r="T22" s="244"/>
      <c r="U22" s="238" t="s">
        <v>155</v>
      </c>
      <c r="V22" s="243">
        <v>7</v>
      </c>
      <c r="W22" s="355"/>
      <c r="X22" s="249">
        <f>SUM(W16:W21)</f>
        <v>0</v>
      </c>
      <c r="Y22" s="238" t="s">
        <v>155</v>
      </c>
      <c r="Z22" s="245">
        <v>7</v>
      </c>
      <c r="AA22" s="351">
        <f>IF(Y22=0,0,' Horaires hors période scolaire'!N10)</f>
        <v>0</v>
      </c>
      <c r="AB22" s="249">
        <f>SUM(AA17:AA22)</f>
        <v>0</v>
      </c>
      <c r="AC22" s="238" t="s">
        <v>151</v>
      </c>
      <c r="AD22" s="243">
        <v>7</v>
      </c>
      <c r="AE22" s="351">
        <f>IF(AC22=0,0,$AM9)</f>
        <v>0</v>
      </c>
      <c r="AF22" s="244"/>
      <c r="AG22" s="238" t="s">
        <v>153</v>
      </c>
      <c r="AH22" s="243">
        <v>7</v>
      </c>
      <c r="AI22" s="351">
        <f>IF(AG22=0,0,$AM11)</f>
        <v>0</v>
      </c>
      <c r="AJ22" s="244"/>
      <c r="AK22" s="238" t="s">
        <v>170</v>
      </c>
      <c r="AL22" s="246">
        <v>7</v>
      </c>
      <c r="AM22" s="350">
        <f t="shared" ref="AM22:AM27" si="8">IF(AK22=0,0,$AM7)</f>
        <v>0</v>
      </c>
      <c r="AN22" s="232"/>
      <c r="AO22" s="238" t="s">
        <v>151</v>
      </c>
      <c r="AP22" s="245">
        <v>7</v>
      </c>
      <c r="AQ22" s="351">
        <f>IF(AO22=0,0,' Horaires hors période scolaire'!$N6)</f>
        <v>0</v>
      </c>
      <c r="AR22" s="244"/>
      <c r="AS22" s="238" t="s">
        <v>154</v>
      </c>
      <c r="AT22" s="245">
        <v>7</v>
      </c>
      <c r="AU22" s="351">
        <f>IF(AS22=0,0,' Horaires hors période scolaire'!$N9)</f>
        <v>0</v>
      </c>
      <c r="AV22" s="244"/>
    </row>
    <row r="23" spans="1:51" s="189" customFormat="1" ht="10.7" customHeight="1" thickBot="1">
      <c r="A23" s="242" t="s">
        <v>148</v>
      </c>
      <c r="B23" s="243">
        <v>8</v>
      </c>
      <c r="C23" s="354">
        <f t="shared" si="6"/>
        <v>0</v>
      </c>
      <c r="D23" s="244"/>
      <c r="E23" s="238" t="s">
        <v>152</v>
      </c>
      <c r="F23" s="243">
        <v>8</v>
      </c>
      <c r="G23" s="351">
        <f t="shared" si="5"/>
        <v>0</v>
      </c>
      <c r="H23" s="244"/>
      <c r="I23" s="238" t="s">
        <v>155</v>
      </c>
      <c r="J23" s="243">
        <v>8</v>
      </c>
      <c r="K23" s="355"/>
      <c r="L23" s="249">
        <f>SUM(K17:K22)</f>
        <v>0</v>
      </c>
      <c r="M23" s="238" t="s">
        <v>148</v>
      </c>
      <c r="N23" s="246">
        <v>8</v>
      </c>
      <c r="O23" s="351">
        <f t="shared" si="7"/>
        <v>0</v>
      </c>
      <c r="P23" s="244"/>
      <c r="Q23" s="238" t="s">
        <v>153</v>
      </c>
      <c r="R23" s="246">
        <v>8</v>
      </c>
      <c r="S23" s="354">
        <f t="shared" si="4"/>
        <v>0</v>
      </c>
      <c r="T23" s="244"/>
      <c r="U23" s="238" t="s">
        <v>170</v>
      </c>
      <c r="V23" s="243">
        <v>8</v>
      </c>
      <c r="W23" s="351">
        <f t="shared" ref="W23:W28" si="9">IF(U23=0,0,$AM7)</f>
        <v>0</v>
      </c>
      <c r="X23" s="232"/>
      <c r="Y23" s="238" t="s">
        <v>170</v>
      </c>
      <c r="Z23" s="245">
        <v>8</v>
      </c>
      <c r="AA23" s="350">
        <f t="shared" ref="AA23:AA28" si="10">IF(Y23=0,0,$AM7)</f>
        <v>0</v>
      </c>
      <c r="AB23" s="239"/>
      <c r="AC23" s="238" t="s">
        <v>152</v>
      </c>
      <c r="AD23" s="243">
        <v>8</v>
      </c>
      <c r="AE23" s="351">
        <f>IF(AC23=0,0,$AM10)</f>
        <v>0</v>
      </c>
      <c r="AF23" s="244"/>
      <c r="AG23" s="238" t="s">
        <v>154</v>
      </c>
      <c r="AH23" s="255">
        <v>8</v>
      </c>
      <c r="AI23" s="254"/>
      <c r="AJ23" s="364" t="s">
        <v>192</v>
      </c>
      <c r="AK23" s="238" t="s">
        <v>148</v>
      </c>
      <c r="AL23" s="246">
        <v>8</v>
      </c>
      <c r="AM23" s="351">
        <f t="shared" si="8"/>
        <v>0</v>
      </c>
      <c r="AN23" s="244"/>
      <c r="AO23" s="238" t="s">
        <v>152</v>
      </c>
      <c r="AP23" s="245">
        <v>8</v>
      </c>
      <c r="AQ23" s="351">
        <f>IF(AO23=0,0,' Horaires hors période scolaire'!$N7)</f>
        <v>0</v>
      </c>
      <c r="AR23" s="244"/>
      <c r="AS23" s="238" t="s">
        <v>155</v>
      </c>
      <c r="AT23" s="245">
        <v>8</v>
      </c>
      <c r="AU23" s="351">
        <f>IF(AS23=0,0,' Horaires hors période scolaire'!$N10)</f>
        <v>0</v>
      </c>
      <c r="AV23" s="249">
        <f>SUM(AU18:AU23)</f>
        <v>0</v>
      </c>
    </row>
    <row r="24" spans="1:51" s="189" customFormat="1" ht="10.7" customHeight="1" thickBot="1">
      <c r="A24" s="242" t="s">
        <v>151</v>
      </c>
      <c r="B24" s="243">
        <v>9</v>
      </c>
      <c r="C24" s="354">
        <f t="shared" si="6"/>
        <v>0</v>
      </c>
      <c r="D24" s="244"/>
      <c r="E24" s="238" t="s">
        <v>153</v>
      </c>
      <c r="F24" s="243">
        <v>9</v>
      </c>
      <c r="G24" s="351">
        <f t="shared" si="5"/>
        <v>0</v>
      </c>
      <c r="H24" s="244"/>
      <c r="I24" s="238" t="s">
        <v>170</v>
      </c>
      <c r="J24" s="243">
        <v>9</v>
      </c>
      <c r="K24" s="353">
        <f t="shared" ref="K24:K29" si="11">IF(I24=0,0,$AM7)</f>
        <v>0</v>
      </c>
      <c r="L24" s="232"/>
      <c r="M24" s="238" t="s">
        <v>151</v>
      </c>
      <c r="N24" s="246">
        <v>9</v>
      </c>
      <c r="O24" s="351">
        <f t="shared" si="7"/>
        <v>0</v>
      </c>
      <c r="P24" s="244"/>
      <c r="Q24" s="238" t="s">
        <v>154</v>
      </c>
      <c r="R24" s="246">
        <v>9</v>
      </c>
      <c r="S24" s="354">
        <f t="shared" si="4"/>
        <v>0</v>
      </c>
      <c r="T24" s="244"/>
      <c r="U24" s="238" t="s">
        <v>148</v>
      </c>
      <c r="V24" s="243">
        <v>9</v>
      </c>
      <c r="W24" s="351">
        <f t="shared" si="9"/>
        <v>0</v>
      </c>
      <c r="X24" s="244"/>
      <c r="Y24" s="238" t="s">
        <v>148</v>
      </c>
      <c r="Z24" s="243">
        <v>9</v>
      </c>
      <c r="AA24" s="351">
        <f t="shared" si="10"/>
        <v>0</v>
      </c>
      <c r="AB24" s="247"/>
      <c r="AC24" s="238" t="s">
        <v>153</v>
      </c>
      <c r="AD24" s="243">
        <v>9</v>
      </c>
      <c r="AE24" s="351">
        <f>IF(AC24=0,0,$AM11)</f>
        <v>0</v>
      </c>
      <c r="AF24" s="244"/>
      <c r="AG24" s="238" t="s">
        <v>155</v>
      </c>
      <c r="AH24" s="243">
        <v>9</v>
      </c>
      <c r="AI24" s="355"/>
      <c r="AJ24" s="249">
        <f>SUM(AI18:AI23)</f>
        <v>0</v>
      </c>
      <c r="AK24" s="238" t="s">
        <v>151</v>
      </c>
      <c r="AL24" s="243">
        <v>9</v>
      </c>
      <c r="AM24" s="351">
        <f t="shared" si="8"/>
        <v>0</v>
      </c>
      <c r="AN24" s="244"/>
      <c r="AO24" s="238" t="s">
        <v>153</v>
      </c>
      <c r="AP24" s="245">
        <v>9</v>
      </c>
      <c r="AQ24" s="351">
        <f>IF(AO24=0,0,' Horaires hors période scolaire'!$N8)</f>
        <v>0</v>
      </c>
      <c r="AR24" s="244"/>
      <c r="AS24" s="238" t="s">
        <v>170</v>
      </c>
      <c r="AT24" s="245">
        <v>9</v>
      </c>
      <c r="AU24" s="359"/>
      <c r="AV24" s="232"/>
    </row>
    <row r="25" spans="1:51" s="189" customFormat="1" ht="10.7" customHeight="1" thickBot="1">
      <c r="A25" s="242" t="s">
        <v>152</v>
      </c>
      <c r="B25" s="243">
        <v>10</v>
      </c>
      <c r="C25" s="354">
        <f t="shared" si="6"/>
        <v>0</v>
      </c>
      <c r="D25" s="244"/>
      <c r="E25" s="238" t="s">
        <v>154</v>
      </c>
      <c r="F25" s="243">
        <v>10</v>
      </c>
      <c r="G25" s="351">
        <f t="shared" si="5"/>
        <v>0</v>
      </c>
      <c r="H25" s="244"/>
      <c r="I25" s="238" t="s">
        <v>148</v>
      </c>
      <c r="J25" s="243">
        <v>10</v>
      </c>
      <c r="K25" s="351">
        <f t="shared" si="11"/>
        <v>0</v>
      </c>
      <c r="L25" s="244"/>
      <c r="M25" s="238" t="s">
        <v>152</v>
      </c>
      <c r="N25" s="246">
        <v>10</v>
      </c>
      <c r="O25" s="351">
        <f t="shared" si="7"/>
        <v>0</v>
      </c>
      <c r="P25" s="244"/>
      <c r="Q25" s="238" t="s">
        <v>155</v>
      </c>
      <c r="R25" s="246">
        <v>10</v>
      </c>
      <c r="S25" s="355"/>
      <c r="T25" s="249">
        <f>SUM(S19:S24)</f>
        <v>0</v>
      </c>
      <c r="U25" s="238" t="s">
        <v>151</v>
      </c>
      <c r="V25" s="243">
        <v>10</v>
      </c>
      <c r="W25" s="351">
        <f t="shared" si="9"/>
        <v>0</v>
      </c>
      <c r="X25" s="244"/>
      <c r="Y25" s="238" t="s">
        <v>151</v>
      </c>
      <c r="Z25" s="243">
        <v>10</v>
      </c>
      <c r="AA25" s="351">
        <f t="shared" si="10"/>
        <v>0</v>
      </c>
      <c r="AB25" s="247"/>
      <c r="AC25" s="238" t="s">
        <v>154</v>
      </c>
      <c r="AD25" s="243">
        <v>10</v>
      </c>
      <c r="AE25" s="351">
        <f>IF(AC25=0,0,$AM12)</f>
        <v>0</v>
      </c>
      <c r="AF25" s="244"/>
      <c r="AG25" s="238" t="s">
        <v>170</v>
      </c>
      <c r="AH25" s="243">
        <v>10</v>
      </c>
      <c r="AI25" s="353">
        <f>IF(AG25=0,0,$AM7)</f>
        <v>0</v>
      </c>
      <c r="AJ25" s="232"/>
      <c r="AK25" s="238" t="s">
        <v>152</v>
      </c>
      <c r="AL25" s="246">
        <v>10</v>
      </c>
      <c r="AM25" s="351">
        <f t="shared" si="8"/>
        <v>0</v>
      </c>
      <c r="AN25" s="244"/>
      <c r="AO25" s="238" t="s">
        <v>154</v>
      </c>
      <c r="AP25" s="245">
        <v>10</v>
      </c>
      <c r="AQ25" s="351">
        <f>IF(AO25=0,0,' Horaires hors période scolaire'!$N9)</f>
        <v>0</v>
      </c>
      <c r="AR25" s="244"/>
      <c r="AS25" s="238" t="s">
        <v>148</v>
      </c>
      <c r="AT25" s="245">
        <v>10</v>
      </c>
      <c r="AU25" s="351">
        <f>IF(AS25=0,0,' Horaires hors période scolaire'!$N5)</f>
        <v>0</v>
      </c>
      <c r="AV25" s="244"/>
    </row>
    <row r="26" spans="1:51" s="189" customFormat="1" ht="10.7" customHeight="1" thickBot="1">
      <c r="A26" s="242" t="s">
        <v>153</v>
      </c>
      <c r="B26" s="243">
        <v>11</v>
      </c>
      <c r="C26" s="354">
        <f t="shared" si="6"/>
        <v>0</v>
      </c>
      <c r="D26" s="244"/>
      <c r="E26" s="238" t="s">
        <v>155</v>
      </c>
      <c r="F26" s="243">
        <v>11</v>
      </c>
      <c r="G26" s="357"/>
      <c r="H26" s="252">
        <f>SUM(G20:G25)</f>
        <v>0</v>
      </c>
      <c r="I26" s="238" t="s">
        <v>151</v>
      </c>
      <c r="J26" s="253">
        <v>11</v>
      </c>
      <c r="K26" s="363">
        <f t="shared" si="11"/>
        <v>0</v>
      </c>
      <c r="L26" s="364" t="s">
        <v>193</v>
      </c>
      <c r="M26" s="238" t="s">
        <v>153</v>
      </c>
      <c r="N26" s="246">
        <v>11</v>
      </c>
      <c r="O26" s="351">
        <f t="shared" si="7"/>
        <v>0</v>
      </c>
      <c r="P26" s="244"/>
      <c r="Q26" s="238" t="s">
        <v>170</v>
      </c>
      <c r="R26" s="246">
        <v>11</v>
      </c>
      <c r="S26" s="350">
        <f t="shared" ref="S26:S31" si="12">IF(Q26=0,0,$AM7)</f>
        <v>0</v>
      </c>
      <c r="T26" s="232"/>
      <c r="U26" s="238" t="s">
        <v>152</v>
      </c>
      <c r="V26" s="243">
        <v>11</v>
      </c>
      <c r="W26" s="351">
        <f t="shared" si="9"/>
        <v>0</v>
      </c>
      <c r="X26" s="244"/>
      <c r="Y26" s="238" t="s">
        <v>152</v>
      </c>
      <c r="Z26" s="246">
        <v>11</v>
      </c>
      <c r="AA26" s="351">
        <f t="shared" si="10"/>
        <v>0</v>
      </c>
      <c r="AB26" s="247"/>
      <c r="AC26" s="238" t="s">
        <v>155</v>
      </c>
      <c r="AD26" s="243">
        <v>11</v>
      </c>
      <c r="AE26" s="355"/>
      <c r="AF26" s="249">
        <f>SUM(AE20:AE25)</f>
        <v>0</v>
      </c>
      <c r="AG26" s="238" t="s">
        <v>148</v>
      </c>
      <c r="AH26" s="243">
        <v>11</v>
      </c>
      <c r="AI26" s="354">
        <f>IF(AG26=0,0,$AM8)</f>
        <v>0</v>
      </c>
      <c r="AJ26" s="244"/>
      <c r="AK26" s="238" t="s">
        <v>153</v>
      </c>
      <c r="AL26" s="246">
        <v>11</v>
      </c>
      <c r="AM26" s="351">
        <f t="shared" si="8"/>
        <v>0</v>
      </c>
      <c r="AN26" s="244"/>
      <c r="AO26" s="238" t="s">
        <v>155</v>
      </c>
      <c r="AP26" s="245">
        <v>11</v>
      </c>
      <c r="AQ26" s="351">
        <f>IF(AO26=0,0,' Horaires hors période scolaire'!$N10)</f>
        <v>0</v>
      </c>
      <c r="AR26" s="252">
        <f>SUM(AQ21:AQ26)</f>
        <v>0</v>
      </c>
      <c r="AS26" s="238" t="s">
        <v>151</v>
      </c>
      <c r="AT26" s="245">
        <v>11</v>
      </c>
      <c r="AU26" s="351">
        <f>IF(AS26=0,0,' Horaires hors période scolaire'!$N6)</f>
        <v>0</v>
      </c>
      <c r="AV26" s="244"/>
    </row>
    <row r="27" spans="1:51" s="189" customFormat="1" ht="10.7" customHeight="1">
      <c r="A27" s="242" t="s">
        <v>154</v>
      </c>
      <c r="B27" s="243">
        <v>12</v>
      </c>
      <c r="C27" s="354">
        <f t="shared" si="6"/>
        <v>0</v>
      </c>
      <c r="D27" s="244"/>
      <c r="E27" s="238" t="s">
        <v>170</v>
      </c>
      <c r="F27" s="243">
        <v>12</v>
      </c>
      <c r="G27" s="350">
        <f t="shared" ref="G27:G32" si="13">IF(E27=0,0,$AM7)</f>
        <v>0</v>
      </c>
      <c r="H27" s="232"/>
      <c r="I27" s="238" t="s">
        <v>152</v>
      </c>
      <c r="J27" s="246">
        <v>12</v>
      </c>
      <c r="K27" s="351">
        <f t="shared" si="11"/>
        <v>0</v>
      </c>
      <c r="L27" s="244"/>
      <c r="M27" s="238" t="s">
        <v>154</v>
      </c>
      <c r="N27" s="246">
        <v>12</v>
      </c>
      <c r="O27" s="351">
        <f t="shared" si="7"/>
        <v>0</v>
      </c>
      <c r="P27" s="244"/>
      <c r="Q27" s="238" t="s">
        <v>148</v>
      </c>
      <c r="R27" s="246">
        <v>12</v>
      </c>
      <c r="S27" s="351">
        <f t="shared" si="12"/>
        <v>0</v>
      </c>
      <c r="T27" s="244"/>
      <c r="U27" s="238" t="s">
        <v>153</v>
      </c>
      <c r="V27" s="243">
        <v>12</v>
      </c>
      <c r="W27" s="351">
        <f t="shared" si="9"/>
        <v>0</v>
      </c>
      <c r="X27" s="244"/>
      <c r="Y27" s="238" t="s">
        <v>153</v>
      </c>
      <c r="Z27" s="246">
        <v>12</v>
      </c>
      <c r="AA27" s="351">
        <f t="shared" si="10"/>
        <v>0</v>
      </c>
      <c r="AB27" s="247"/>
      <c r="AC27" s="238" t="s">
        <v>170</v>
      </c>
      <c r="AD27" s="243">
        <v>12</v>
      </c>
      <c r="AE27" s="351">
        <f t="shared" ref="AE27:AE32" si="14">IF(AC27=0,0,$AM7)</f>
        <v>0</v>
      </c>
      <c r="AF27" s="232"/>
      <c r="AG27" s="238" t="s">
        <v>151</v>
      </c>
      <c r="AH27" s="243">
        <v>12</v>
      </c>
      <c r="AI27" s="354">
        <f>IF(AG27=0,0,$AM9)</f>
        <v>0</v>
      </c>
      <c r="AJ27" s="244"/>
      <c r="AK27" s="238" t="s">
        <v>154</v>
      </c>
      <c r="AL27" s="246">
        <v>12</v>
      </c>
      <c r="AM27" s="351">
        <f t="shared" si="8"/>
        <v>0</v>
      </c>
      <c r="AN27" s="244"/>
      <c r="AO27" s="238" t="s">
        <v>170</v>
      </c>
      <c r="AP27" s="245">
        <v>12</v>
      </c>
      <c r="AQ27" s="359"/>
      <c r="AR27" s="232"/>
      <c r="AS27" s="238" t="s">
        <v>152</v>
      </c>
      <c r="AT27" s="245">
        <v>12</v>
      </c>
      <c r="AU27" s="351">
        <f>IF(AS27=0,0,' Horaires hors période scolaire'!$N7)</f>
        <v>0</v>
      </c>
      <c r="AV27" s="244"/>
    </row>
    <row r="28" spans="1:51" s="189" customFormat="1" ht="10.7" customHeight="1" thickBot="1">
      <c r="A28" s="242" t="s">
        <v>155</v>
      </c>
      <c r="B28" s="243">
        <v>13</v>
      </c>
      <c r="C28" s="355"/>
      <c r="D28" s="249">
        <f>SUM(C22:C27)</f>
        <v>0</v>
      </c>
      <c r="E28" s="238" t="s">
        <v>148</v>
      </c>
      <c r="F28" s="243">
        <v>13</v>
      </c>
      <c r="G28" s="351">
        <f t="shared" si="13"/>
        <v>0</v>
      </c>
      <c r="H28" s="244"/>
      <c r="I28" s="238" t="s">
        <v>153</v>
      </c>
      <c r="J28" s="246">
        <v>13</v>
      </c>
      <c r="K28" s="351">
        <f t="shared" si="11"/>
        <v>0</v>
      </c>
      <c r="L28" s="244"/>
      <c r="M28" s="238" t="s">
        <v>155</v>
      </c>
      <c r="N28" s="246">
        <v>13</v>
      </c>
      <c r="O28" s="314"/>
      <c r="P28" s="249">
        <f>SUM(O22:O27)</f>
        <v>0</v>
      </c>
      <c r="Q28" s="238" t="s">
        <v>151</v>
      </c>
      <c r="R28" s="246">
        <v>13</v>
      </c>
      <c r="S28" s="351">
        <f t="shared" si="12"/>
        <v>0</v>
      </c>
      <c r="T28" s="244"/>
      <c r="U28" s="238" t="s">
        <v>154</v>
      </c>
      <c r="V28" s="243">
        <v>13</v>
      </c>
      <c r="W28" s="351">
        <f t="shared" si="9"/>
        <v>0</v>
      </c>
      <c r="X28" s="244"/>
      <c r="Y28" s="238" t="s">
        <v>154</v>
      </c>
      <c r="Z28" s="246">
        <v>13</v>
      </c>
      <c r="AA28" s="351">
        <f t="shared" si="10"/>
        <v>0</v>
      </c>
      <c r="AB28" s="247"/>
      <c r="AC28" s="238" t="s">
        <v>148</v>
      </c>
      <c r="AD28" s="243">
        <v>13</v>
      </c>
      <c r="AE28" s="351">
        <f t="shared" si="14"/>
        <v>0</v>
      </c>
      <c r="AF28" s="244"/>
      <c r="AG28" s="238" t="s">
        <v>152</v>
      </c>
      <c r="AH28" s="243">
        <v>13</v>
      </c>
      <c r="AI28" s="354">
        <f>IF(AG28=0,0,$AM10)</f>
        <v>0</v>
      </c>
      <c r="AJ28" s="244"/>
      <c r="AK28" s="238" t="s">
        <v>155</v>
      </c>
      <c r="AL28" s="243">
        <v>13</v>
      </c>
      <c r="AM28" s="355"/>
      <c r="AN28" s="249">
        <f>SUM(AM22:AM27)</f>
        <v>0</v>
      </c>
      <c r="AO28" s="238" t="s">
        <v>148</v>
      </c>
      <c r="AP28" s="245">
        <v>13</v>
      </c>
      <c r="AQ28" s="351">
        <f>IF(AO28=0,0,' Horaires hors période scolaire'!$N5)</f>
        <v>0</v>
      </c>
      <c r="AR28" s="244"/>
      <c r="AS28" s="238" t="s">
        <v>153</v>
      </c>
      <c r="AT28" s="245">
        <v>13</v>
      </c>
      <c r="AU28" s="351">
        <f>IF(AS28=0,0,' Horaires hors période scolaire'!$N8)</f>
        <v>0</v>
      </c>
      <c r="AV28" s="244"/>
    </row>
    <row r="29" spans="1:51" s="189" customFormat="1" ht="10.7" customHeight="1" thickBot="1">
      <c r="A29" s="242" t="s">
        <v>170</v>
      </c>
      <c r="B29" s="243">
        <v>14</v>
      </c>
      <c r="C29" s="350">
        <f t="shared" ref="C29:C34" si="15">IF(A29=0,0,$AM7)</f>
        <v>0</v>
      </c>
      <c r="D29" s="232"/>
      <c r="E29" s="238" t="s">
        <v>151</v>
      </c>
      <c r="F29" s="243">
        <v>14</v>
      </c>
      <c r="G29" s="351">
        <f t="shared" si="13"/>
        <v>0</v>
      </c>
      <c r="H29" s="244"/>
      <c r="I29" s="238" t="s">
        <v>154</v>
      </c>
      <c r="J29" s="246">
        <v>14</v>
      </c>
      <c r="K29" s="351">
        <f t="shared" si="11"/>
        <v>0</v>
      </c>
      <c r="L29" s="244"/>
      <c r="M29" s="238" t="s">
        <v>170</v>
      </c>
      <c r="N29" s="246">
        <v>14</v>
      </c>
      <c r="O29" s="350">
        <f t="shared" ref="O29:O34" si="16">IF(M29=0,0,$AM7)</f>
        <v>0</v>
      </c>
      <c r="P29" s="232"/>
      <c r="Q29" s="238" t="s">
        <v>152</v>
      </c>
      <c r="R29" s="246">
        <v>14</v>
      </c>
      <c r="S29" s="351">
        <f t="shared" si="12"/>
        <v>0</v>
      </c>
      <c r="T29" s="244"/>
      <c r="U29" s="238" t="s">
        <v>155</v>
      </c>
      <c r="V29" s="243">
        <v>14</v>
      </c>
      <c r="W29" s="355"/>
      <c r="X29" s="249">
        <f>SUM(W23:W28)</f>
        <v>0</v>
      </c>
      <c r="Y29" s="238" t="s">
        <v>155</v>
      </c>
      <c r="Z29" s="246">
        <v>14</v>
      </c>
      <c r="AA29" s="355"/>
      <c r="AB29" s="249">
        <f>SUM(AA23:AA28)</f>
        <v>0</v>
      </c>
      <c r="AC29" s="238" t="s">
        <v>151</v>
      </c>
      <c r="AD29" s="243">
        <v>14</v>
      </c>
      <c r="AE29" s="351">
        <f t="shared" si="14"/>
        <v>0</v>
      </c>
      <c r="AF29" s="244"/>
      <c r="AG29" s="238" t="s">
        <v>153</v>
      </c>
      <c r="AH29" s="255">
        <v>14</v>
      </c>
      <c r="AI29" s="254"/>
      <c r="AJ29" s="364" t="s">
        <v>194</v>
      </c>
      <c r="AK29" s="238" t="s">
        <v>170</v>
      </c>
      <c r="AL29" s="246">
        <v>14</v>
      </c>
      <c r="AM29" s="353">
        <f t="shared" ref="AM29:AM34" si="17">IF(AK29=0,0,$AM7)</f>
        <v>0</v>
      </c>
      <c r="AN29" s="232"/>
      <c r="AO29" s="238" t="s">
        <v>151</v>
      </c>
      <c r="AP29" s="255">
        <v>14</v>
      </c>
      <c r="AQ29" s="254"/>
      <c r="AR29" s="364" t="s">
        <v>195</v>
      </c>
      <c r="AS29" s="238" t="s">
        <v>154</v>
      </c>
      <c r="AT29" s="245">
        <v>14</v>
      </c>
      <c r="AU29" s="351">
        <f>IF(AS29=0,0,' Horaires hors période scolaire'!$N9)</f>
        <v>0</v>
      </c>
      <c r="AV29" s="244"/>
      <c r="AY29" s="241"/>
    </row>
    <row r="30" spans="1:51" s="189" customFormat="1" ht="10.7" customHeight="1" thickBot="1">
      <c r="A30" s="242" t="s">
        <v>148</v>
      </c>
      <c r="B30" s="243">
        <v>15</v>
      </c>
      <c r="C30" s="351">
        <f t="shared" si="15"/>
        <v>0</v>
      </c>
      <c r="D30" s="244"/>
      <c r="E30" s="238" t="s">
        <v>152</v>
      </c>
      <c r="F30" s="243">
        <v>15</v>
      </c>
      <c r="G30" s="351">
        <f t="shared" si="13"/>
        <v>0</v>
      </c>
      <c r="H30" s="244"/>
      <c r="I30" s="238" t="s">
        <v>155</v>
      </c>
      <c r="J30" s="246">
        <v>15</v>
      </c>
      <c r="K30" s="355"/>
      <c r="L30" s="249">
        <f>SUM(K24:K29)</f>
        <v>0</v>
      </c>
      <c r="M30" s="238" t="s">
        <v>148</v>
      </c>
      <c r="N30" s="246">
        <v>15</v>
      </c>
      <c r="O30" s="351">
        <f t="shared" si="16"/>
        <v>0</v>
      </c>
      <c r="P30" s="244"/>
      <c r="Q30" s="238" t="s">
        <v>153</v>
      </c>
      <c r="R30" s="246">
        <v>15</v>
      </c>
      <c r="S30" s="351">
        <f t="shared" si="12"/>
        <v>0</v>
      </c>
      <c r="T30" s="244"/>
      <c r="U30" s="238" t="s">
        <v>170</v>
      </c>
      <c r="V30" s="243">
        <v>15</v>
      </c>
      <c r="W30" s="351">
        <f t="shared" ref="W30:W35" si="18">IF(U30=0,0,$AM7)</f>
        <v>0</v>
      </c>
      <c r="X30" s="232"/>
      <c r="Y30" s="238" t="s">
        <v>170</v>
      </c>
      <c r="Z30" s="246">
        <v>15</v>
      </c>
      <c r="AA30" s="350">
        <f t="shared" ref="AA30:AA35" si="19">IF(Y30=0,0,$AM7)</f>
        <v>0</v>
      </c>
      <c r="AB30" s="239"/>
      <c r="AC30" s="238" t="s">
        <v>152</v>
      </c>
      <c r="AD30" s="243">
        <v>15</v>
      </c>
      <c r="AE30" s="351">
        <f t="shared" si="14"/>
        <v>0</v>
      </c>
      <c r="AF30" s="244"/>
      <c r="AG30" s="238" t="s">
        <v>154</v>
      </c>
      <c r="AH30" s="245">
        <v>15</v>
      </c>
      <c r="AI30" s="354"/>
      <c r="AJ30" s="244"/>
      <c r="AK30" s="238" t="s">
        <v>148</v>
      </c>
      <c r="AL30" s="246">
        <v>15</v>
      </c>
      <c r="AM30" s="354">
        <f t="shared" si="17"/>
        <v>0</v>
      </c>
      <c r="AN30" s="244"/>
      <c r="AO30" s="238" t="s">
        <v>152</v>
      </c>
      <c r="AP30" s="245">
        <v>15</v>
      </c>
      <c r="AQ30" s="351">
        <f>IF(AO30=0,0,' Horaires hors période scolaire'!$N7)</f>
        <v>0</v>
      </c>
      <c r="AR30" s="244"/>
      <c r="AS30" s="238" t="s">
        <v>155</v>
      </c>
      <c r="AT30" s="255">
        <v>15</v>
      </c>
      <c r="AU30" s="256" t="s">
        <v>196</v>
      </c>
      <c r="AV30" s="249">
        <f>SUM(AU25:AU30)</f>
        <v>0</v>
      </c>
      <c r="AY30" s="241"/>
    </row>
    <row r="31" spans="1:51" s="189" customFormat="1" ht="10.7" customHeight="1" thickBot="1">
      <c r="A31" s="242" t="s">
        <v>151</v>
      </c>
      <c r="B31" s="243">
        <v>16</v>
      </c>
      <c r="C31" s="351">
        <f t="shared" si="15"/>
        <v>0</v>
      </c>
      <c r="D31" s="244"/>
      <c r="E31" s="238" t="s">
        <v>153</v>
      </c>
      <c r="F31" s="243">
        <v>16</v>
      </c>
      <c r="G31" s="351">
        <f t="shared" si="13"/>
        <v>0</v>
      </c>
      <c r="H31" s="244"/>
      <c r="I31" s="238" t="s">
        <v>170</v>
      </c>
      <c r="J31" s="246">
        <v>16</v>
      </c>
      <c r="K31" s="350">
        <f t="shared" ref="K31:K36" si="20">IF(I31=0,0,$AM7)</f>
        <v>0</v>
      </c>
      <c r="L31" s="232"/>
      <c r="M31" s="238" t="s">
        <v>151</v>
      </c>
      <c r="N31" s="246">
        <v>16</v>
      </c>
      <c r="O31" s="351">
        <f t="shared" si="16"/>
        <v>0</v>
      </c>
      <c r="P31" s="244"/>
      <c r="Q31" s="238" t="s">
        <v>154</v>
      </c>
      <c r="R31" s="246">
        <v>16</v>
      </c>
      <c r="S31" s="351">
        <f t="shared" si="12"/>
        <v>0</v>
      </c>
      <c r="T31" s="244"/>
      <c r="U31" s="238" t="s">
        <v>148</v>
      </c>
      <c r="V31" s="243">
        <v>16</v>
      </c>
      <c r="W31" s="351">
        <f t="shared" si="18"/>
        <v>0</v>
      </c>
      <c r="X31" s="244"/>
      <c r="Y31" s="238" t="s">
        <v>148</v>
      </c>
      <c r="Z31" s="246">
        <v>16</v>
      </c>
      <c r="AA31" s="351">
        <f t="shared" si="19"/>
        <v>0</v>
      </c>
      <c r="AB31" s="247"/>
      <c r="AC31" s="238" t="s">
        <v>153</v>
      </c>
      <c r="AD31" s="243">
        <v>16</v>
      </c>
      <c r="AE31" s="351">
        <f t="shared" si="14"/>
        <v>0</v>
      </c>
      <c r="AF31" s="244"/>
      <c r="AG31" s="238" t="s">
        <v>155</v>
      </c>
      <c r="AH31" s="245">
        <v>16</v>
      </c>
      <c r="AI31" s="355"/>
      <c r="AJ31" s="249">
        <f>SUM(AI25:AI30)</f>
        <v>0</v>
      </c>
      <c r="AK31" s="238" t="s">
        <v>151</v>
      </c>
      <c r="AL31" s="246">
        <v>16</v>
      </c>
      <c r="AM31" s="354">
        <f t="shared" si="17"/>
        <v>0</v>
      </c>
      <c r="AN31" s="244"/>
      <c r="AO31" s="238" t="s">
        <v>153</v>
      </c>
      <c r="AP31" s="245">
        <v>16</v>
      </c>
      <c r="AQ31" s="351">
        <f>IF(AO31=0,0,' Horaires hors période scolaire'!$N8)</f>
        <v>0</v>
      </c>
      <c r="AR31" s="244"/>
      <c r="AS31" s="238" t="s">
        <v>170</v>
      </c>
      <c r="AT31" s="245">
        <v>16</v>
      </c>
      <c r="AU31" s="359"/>
      <c r="AV31" s="232"/>
      <c r="AY31" s="241"/>
    </row>
    <row r="32" spans="1:51" s="189" customFormat="1" ht="10.7" customHeight="1" thickBot="1">
      <c r="A32" s="242" t="s">
        <v>152</v>
      </c>
      <c r="B32" s="243">
        <v>17</v>
      </c>
      <c r="C32" s="351">
        <f t="shared" si="15"/>
        <v>0</v>
      </c>
      <c r="D32" s="244"/>
      <c r="E32" s="238" t="s">
        <v>154</v>
      </c>
      <c r="F32" s="243">
        <v>17</v>
      </c>
      <c r="G32" s="351">
        <f t="shared" si="13"/>
        <v>0</v>
      </c>
      <c r="H32" s="244"/>
      <c r="I32" s="238" t="s">
        <v>148</v>
      </c>
      <c r="J32" s="246">
        <v>17</v>
      </c>
      <c r="K32" s="351">
        <f t="shared" si="20"/>
        <v>0</v>
      </c>
      <c r="L32" s="244"/>
      <c r="M32" s="238" t="s">
        <v>152</v>
      </c>
      <c r="N32" s="243">
        <v>17</v>
      </c>
      <c r="O32" s="351">
        <f t="shared" si="16"/>
        <v>0</v>
      </c>
      <c r="P32" s="244"/>
      <c r="Q32" s="238" t="s">
        <v>155</v>
      </c>
      <c r="R32" s="246">
        <v>17</v>
      </c>
      <c r="S32" s="355"/>
      <c r="T32" s="249">
        <f>SUM(S26:S31)</f>
        <v>0</v>
      </c>
      <c r="U32" s="238" t="s">
        <v>151</v>
      </c>
      <c r="V32" s="243">
        <v>17</v>
      </c>
      <c r="W32" s="351">
        <f t="shared" si="18"/>
        <v>0</v>
      </c>
      <c r="X32" s="244"/>
      <c r="Y32" s="238" t="s">
        <v>151</v>
      </c>
      <c r="Z32" s="246">
        <v>17</v>
      </c>
      <c r="AA32" s="351">
        <f t="shared" si="19"/>
        <v>0</v>
      </c>
      <c r="AB32" s="247"/>
      <c r="AC32" s="238" t="s">
        <v>154</v>
      </c>
      <c r="AD32" s="243">
        <v>17</v>
      </c>
      <c r="AE32" s="351">
        <f t="shared" si="14"/>
        <v>0</v>
      </c>
      <c r="AF32" s="244"/>
      <c r="AG32" s="238" t="s">
        <v>170</v>
      </c>
      <c r="AH32" s="245">
        <v>17</v>
      </c>
      <c r="AI32" s="353">
        <f t="shared" ref="AI32:AI37" si="21">IF(AG32=0,0,$AM7)</f>
        <v>0</v>
      </c>
      <c r="AJ32" s="232"/>
      <c r="AK32" s="238" t="s">
        <v>152</v>
      </c>
      <c r="AL32" s="246">
        <v>17</v>
      </c>
      <c r="AM32" s="354">
        <f t="shared" si="17"/>
        <v>0</v>
      </c>
      <c r="AN32" s="244"/>
      <c r="AO32" s="238" t="s">
        <v>154</v>
      </c>
      <c r="AP32" s="245">
        <v>17</v>
      </c>
      <c r="AQ32" s="351">
        <f>IF(AO32=0,0,' Horaires hors période scolaire'!$N9)</f>
        <v>0</v>
      </c>
      <c r="AR32" s="244"/>
      <c r="AS32" s="238" t="s">
        <v>148</v>
      </c>
      <c r="AT32" s="245">
        <v>17</v>
      </c>
      <c r="AU32" s="351">
        <f>IF(AS32=0,0,' Horaires hors période scolaire'!$N5)</f>
        <v>0</v>
      </c>
      <c r="AV32" s="244"/>
      <c r="AY32" s="241"/>
    </row>
    <row r="33" spans="1:58" s="189" customFormat="1" ht="10.7" customHeight="1" thickBot="1">
      <c r="A33" s="242" t="s">
        <v>153</v>
      </c>
      <c r="B33" s="243">
        <v>18</v>
      </c>
      <c r="C33" s="351">
        <f t="shared" si="15"/>
        <v>0</v>
      </c>
      <c r="D33" s="244"/>
      <c r="E33" s="238" t="s">
        <v>155</v>
      </c>
      <c r="F33" s="245">
        <v>18</v>
      </c>
      <c r="G33" s="352"/>
      <c r="H33" s="252">
        <f>SUM(G27:G32)</f>
        <v>0</v>
      </c>
      <c r="I33" s="238" t="s">
        <v>151</v>
      </c>
      <c r="J33" s="246">
        <v>18</v>
      </c>
      <c r="K33" s="351">
        <f t="shared" si="20"/>
        <v>0</v>
      </c>
      <c r="L33" s="244"/>
      <c r="M33" s="238" t="s">
        <v>153</v>
      </c>
      <c r="N33" s="243">
        <v>18</v>
      </c>
      <c r="O33" s="351">
        <f t="shared" si="16"/>
        <v>0</v>
      </c>
      <c r="P33" s="244"/>
      <c r="Q33" s="238" t="s">
        <v>170</v>
      </c>
      <c r="R33" s="246">
        <v>18</v>
      </c>
      <c r="S33" s="350">
        <f t="shared" ref="S33:S38" si="22">IF(Q33=0,0,$AM7)</f>
        <v>0</v>
      </c>
      <c r="T33" s="232"/>
      <c r="U33" s="238" t="s">
        <v>152</v>
      </c>
      <c r="V33" s="243">
        <v>18</v>
      </c>
      <c r="W33" s="351">
        <f t="shared" si="18"/>
        <v>0</v>
      </c>
      <c r="X33" s="257"/>
      <c r="Y33" s="238" t="s">
        <v>152</v>
      </c>
      <c r="Z33" s="246">
        <v>18</v>
      </c>
      <c r="AA33" s="351">
        <f t="shared" si="19"/>
        <v>0</v>
      </c>
      <c r="AB33" s="247"/>
      <c r="AC33" s="238" t="s">
        <v>155</v>
      </c>
      <c r="AD33" s="245">
        <v>18</v>
      </c>
      <c r="AE33" s="358"/>
      <c r="AF33" s="249">
        <f>SUM(AE27:AE32)</f>
        <v>0</v>
      </c>
      <c r="AG33" s="238" t="s">
        <v>148</v>
      </c>
      <c r="AH33" s="243">
        <v>18</v>
      </c>
      <c r="AI33" s="351">
        <f t="shared" si="21"/>
        <v>0</v>
      </c>
      <c r="AJ33" s="244"/>
      <c r="AK33" s="238" t="s">
        <v>153</v>
      </c>
      <c r="AL33" s="246">
        <v>18</v>
      </c>
      <c r="AM33" s="354">
        <f t="shared" si="17"/>
        <v>0</v>
      </c>
      <c r="AN33" s="244"/>
      <c r="AO33" s="238" t="s">
        <v>155</v>
      </c>
      <c r="AP33" s="245">
        <v>18</v>
      </c>
      <c r="AQ33" s="351">
        <f>IF(AO33=0,0,' Horaires hors période scolaire'!$N10)</f>
        <v>0</v>
      </c>
      <c r="AR33" s="249">
        <f>SUM(AQ28:AQ33)</f>
        <v>0</v>
      </c>
      <c r="AS33" s="238" t="s">
        <v>151</v>
      </c>
      <c r="AT33" s="245">
        <v>18</v>
      </c>
      <c r="AU33" s="351">
        <f>IF(AS33=0,0,' Horaires hors période scolaire'!$N6)</f>
        <v>0</v>
      </c>
      <c r="AV33" s="244"/>
      <c r="AY33" s="241"/>
      <c r="AZ33" s="241"/>
      <c r="BA33" s="241"/>
    </row>
    <row r="34" spans="1:58" s="189" customFormat="1" ht="10.7" customHeight="1">
      <c r="A34" s="242" t="s">
        <v>154</v>
      </c>
      <c r="B34" s="243">
        <v>19</v>
      </c>
      <c r="C34" s="351">
        <f t="shared" si="15"/>
        <v>0</v>
      </c>
      <c r="D34" s="244"/>
      <c r="E34" s="238" t="s">
        <v>170</v>
      </c>
      <c r="F34" s="245">
        <v>19</v>
      </c>
      <c r="G34" s="350"/>
      <c r="H34" s="232"/>
      <c r="I34" s="238" t="s">
        <v>152</v>
      </c>
      <c r="J34" s="246">
        <v>19</v>
      </c>
      <c r="K34" s="351">
        <f t="shared" si="20"/>
        <v>0</v>
      </c>
      <c r="L34" s="244"/>
      <c r="M34" s="238" t="s">
        <v>154</v>
      </c>
      <c r="N34" s="243">
        <v>19</v>
      </c>
      <c r="O34" s="351">
        <f t="shared" si="16"/>
        <v>0</v>
      </c>
      <c r="P34" s="244"/>
      <c r="Q34" s="238" t="s">
        <v>148</v>
      </c>
      <c r="R34" s="246">
        <v>19</v>
      </c>
      <c r="S34" s="351">
        <f t="shared" si="22"/>
        <v>0</v>
      </c>
      <c r="T34" s="244"/>
      <c r="U34" s="238" t="s">
        <v>153</v>
      </c>
      <c r="V34" s="243">
        <v>19</v>
      </c>
      <c r="W34" s="351">
        <f t="shared" si="18"/>
        <v>0</v>
      </c>
      <c r="X34" s="244"/>
      <c r="Y34" s="238" t="s">
        <v>153</v>
      </c>
      <c r="Z34" s="246">
        <v>19</v>
      </c>
      <c r="AA34" s="351">
        <f t="shared" si="19"/>
        <v>0</v>
      </c>
      <c r="AB34" s="247"/>
      <c r="AC34" s="238" t="s">
        <v>170</v>
      </c>
      <c r="AD34" s="245">
        <v>19</v>
      </c>
      <c r="AE34" s="353"/>
      <c r="AF34" s="232"/>
      <c r="AG34" s="238" t="s">
        <v>151</v>
      </c>
      <c r="AH34" s="243">
        <v>19</v>
      </c>
      <c r="AI34" s="351">
        <f t="shared" si="21"/>
        <v>0</v>
      </c>
      <c r="AJ34" s="244"/>
      <c r="AK34" s="238" t="s">
        <v>154</v>
      </c>
      <c r="AL34" s="246">
        <v>19</v>
      </c>
      <c r="AM34" s="354">
        <f t="shared" si="17"/>
        <v>0</v>
      </c>
      <c r="AN34" s="244"/>
      <c r="AO34" s="238" t="s">
        <v>170</v>
      </c>
      <c r="AP34" s="245">
        <v>19</v>
      </c>
      <c r="AQ34" s="359"/>
      <c r="AR34" s="232"/>
      <c r="AS34" s="238" t="s">
        <v>152</v>
      </c>
      <c r="AT34" s="245">
        <v>19</v>
      </c>
      <c r="AU34" s="351">
        <f>IF(AS34=0,0,' Horaires hors période scolaire'!$N7)</f>
        <v>0</v>
      </c>
      <c r="AV34" s="244"/>
    </row>
    <row r="35" spans="1:58" s="189" customFormat="1" ht="10.7" customHeight="1" thickBot="1">
      <c r="A35" s="242" t="s">
        <v>155</v>
      </c>
      <c r="B35" s="243">
        <v>20</v>
      </c>
      <c r="C35" s="355"/>
      <c r="D35" s="249">
        <f>SUM(C29:C34)</f>
        <v>0</v>
      </c>
      <c r="E35" s="238" t="s">
        <v>148</v>
      </c>
      <c r="F35" s="245">
        <v>20</v>
      </c>
      <c r="G35" s="351">
        <f>IF(E35=0,0,' Horaires hors période scolaire'!$N5)</f>
        <v>0</v>
      </c>
      <c r="H35" s="244"/>
      <c r="I35" s="238" t="s">
        <v>153</v>
      </c>
      <c r="J35" s="246">
        <v>20</v>
      </c>
      <c r="K35" s="351">
        <f t="shared" si="20"/>
        <v>0</v>
      </c>
      <c r="L35" s="244"/>
      <c r="M35" s="238" t="s">
        <v>155</v>
      </c>
      <c r="N35" s="245">
        <v>20</v>
      </c>
      <c r="O35" s="355"/>
      <c r="P35" s="249">
        <f>SUM(O29:O34)</f>
        <v>0</v>
      </c>
      <c r="Q35" s="238" t="s">
        <v>151</v>
      </c>
      <c r="R35" s="246">
        <v>20</v>
      </c>
      <c r="S35" s="351">
        <f t="shared" si="22"/>
        <v>0</v>
      </c>
      <c r="T35" s="244"/>
      <c r="U35" s="238" t="s">
        <v>154</v>
      </c>
      <c r="V35" s="243">
        <v>20</v>
      </c>
      <c r="W35" s="351">
        <f t="shared" si="18"/>
        <v>0</v>
      </c>
      <c r="X35" s="244"/>
      <c r="Y35" s="238" t="s">
        <v>154</v>
      </c>
      <c r="Z35" s="246">
        <v>20</v>
      </c>
      <c r="AA35" s="351">
        <f t="shared" si="19"/>
        <v>0</v>
      </c>
      <c r="AB35" s="247"/>
      <c r="AC35" s="238" t="s">
        <v>148</v>
      </c>
      <c r="AD35" s="245">
        <v>20</v>
      </c>
      <c r="AE35" s="351">
        <f>IF(AC35=0,0,' Horaires hors période scolaire'!$N5)</f>
        <v>0</v>
      </c>
      <c r="AF35" s="244"/>
      <c r="AG35" s="238" t="s">
        <v>152</v>
      </c>
      <c r="AH35" s="243">
        <v>20</v>
      </c>
      <c r="AI35" s="351">
        <f t="shared" si="21"/>
        <v>0</v>
      </c>
      <c r="AJ35" s="244"/>
      <c r="AK35" s="238" t="s">
        <v>155</v>
      </c>
      <c r="AL35" s="246">
        <v>20</v>
      </c>
      <c r="AM35" s="355"/>
      <c r="AN35" s="249">
        <f>SUM(AM29:AM34)</f>
        <v>0</v>
      </c>
      <c r="AO35" s="238" t="s">
        <v>148</v>
      </c>
      <c r="AP35" s="245">
        <v>20</v>
      </c>
      <c r="AQ35" s="351">
        <f>IF(AO35=0,0,' Horaires hors période scolaire'!$N5)</f>
        <v>0</v>
      </c>
      <c r="AR35" s="244"/>
      <c r="AS35" s="238" t="s">
        <v>153</v>
      </c>
      <c r="AT35" s="245">
        <v>20</v>
      </c>
      <c r="AU35" s="351">
        <f>IF(AS35=0,0,' Horaires hors période scolaire'!$N8)</f>
        <v>0</v>
      </c>
      <c r="AV35" s="244"/>
    </row>
    <row r="36" spans="1:58" s="189" customFormat="1" ht="10.7" customHeight="1" thickBot="1">
      <c r="A36" s="242" t="s">
        <v>170</v>
      </c>
      <c r="B36" s="243">
        <v>21</v>
      </c>
      <c r="C36" s="350">
        <f t="shared" ref="C36:C41" si="23">IF(A36=0,0,$AM7)</f>
        <v>0</v>
      </c>
      <c r="D36" s="232"/>
      <c r="E36" s="238" t="s">
        <v>151</v>
      </c>
      <c r="F36" s="245">
        <v>21</v>
      </c>
      <c r="G36" s="351">
        <f>IF(E36=0,0,' Horaires hors période scolaire'!$N6)</f>
        <v>0</v>
      </c>
      <c r="H36" s="244"/>
      <c r="I36" s="238" t="s">
        <v>154</v>
      </c>
      <c r="J36" s="246">
        <v>21</v>
      </c>
      <c r="K36" s="351">
        <f t="shared" si="20"/>
        <v>0</v>
      </c>
      <c r="L36" s="244"/>
      <c r="M36" s="238" t="s">
        <v>170</v>
      </c>
      <c r="N36" s="245">
        <v>21</v>
      </c>
      <c r="O36" s="350"/>
      <c r="P36" s="232"/>
      <c r="Q36" s="238" t="s">
        <v>152</v>
      </c>
      <c r="R36" s="246">
        <v>21</v>
      </c>
      <c r="S36" s="351">
        <f t="shared" si="22"/>
        <v>0</v>
      </c>
      <c r="T36" s="244"/>
      <c r="U36" s="238" t="s">
        <v>155</v>
      </c>
      <c r="V36" s="245">
        <v>21</v>
      </c>
      <c r="W36" s="358"/>
      <c r="X36" s="249">
        <f>SUM(W30:W35)</f>
        <v>0</v>
      </c>
      <c r="Y36" s="238" t="s">
        <v>155</v>
      </c>
      <c r="Z36" s="246">
        <v>21</v>
      </c>
      <c r="AA36" s="355"/>
      <c r="AB36" s="249">
        <f>SUM(AA30:AA35)</f>
        <v>0</v>
      </c>
      <c r="AC36" s="238" t="s">
        <v>151</v>
      </c>
      <c r="AD36" s="245">
        <v>21</v>
      </c>
      <c r="AE36" s="351">
        <f>IF(AC36=0,0,' Horaires hors période scolaire'!$N6)</f>
        <v>0</v>
      </c>
      <c r="AF36" s="244"/>
      <c r="AG36" s="238" t="s">
        <v>153</v>
      </c>
      <c r="AH36" s="243">
        <v>21</v>
      </c>
      <c r="AI36" s="351">
        <f t="shared" si="21"/>
        <v>0</v>
      </c>
      <c r="AJ36" s="244"/>
      <c r="AK36" s="238" t="s">
        <v>170</v>
      </c>
      <c r="AL36" s="246">
        <v>21</v>
      </c>
      <c r="AM36" s="350">
        <f t="shared" ref="AM36:AM41" si="24">IF(AK36=0,0,$AM7)</f>
        <v>0</v>
      </c>
      <c r="AN36" s="232"/>
      <c r="AO36" s="238" t="s">
        <v>151</v>
      </c>
      <c r="AP36" s="245">
        <v>21</v>
      </c>
      <c r="AQ36" s="351">
        <f>IF(AO36=0,0,' Horaires hors période scolaire'!$N6)</f>
        <v>0</v>
      </c>
      <c r="AR36" s="244"/>
      <c r="AS36" s="238" t="s">
        <v>154</v>
      </c>
      <c r="AT36" s="245">
        <v>21</v>
      </c>
      <c r="AU36" s="351">
        <f>IF(AS36=0,0,' Horaires hors période scolaire'!$N9)</f>
        <v>0</v>
      </c>
      <c r="AV36" s="244"/>
    </row>
    <row r="37" spans="1:58" s="189" customFormat="1" ht="10.7" customHeight="1" thickBot="1">
      <c r="A37" s="242" t="s">
        <v>148</v>
      </c>
      <c r="B37" s="243">
        <v>22</v>
      </c>
      <c r="C37" s="351">
        <f t="shared" si="23"/>
        <v>0</v>
      </c>
      <c r="D37" s="244"/>
      <c r="E37" s="238" t="s">
        <v>152</v>
      </c>
      <c r="F37" s="245">
        <v>22</v>
      </c>
      <c r="G37" s="351">
        <f>IF(E37=0,0,' Horaires hors période scolaire'!$N7)</f>
        <v>0</v>
      </c>
      <c r="H37" s="244"/>
      <c r="I37" s="238" t="s">
        <v>155</v>
      </c>
      <c r="J37" s="246">
        <v>22</v>
      </c>
      <c r="K37" s="355"/>
      <c r="L37" s="249">
        <f>SUM(K31:K36)</f>
        <v>0</v>
      </c>
      <c r="M37" s="238" t="s">
        <v>148</v>
      </c>
      <c r="N37" s="245">
        <v>22</v>
      </c>
      <c r="O37" s="351">
        <f>IF(M37=0,0,' Horaires hors période scolaire'!$N5)</f>
        <v>0</v>
      </c>
      <c r="P37" s="244"/>
      <c r="Q37" s="238" t="s">
        <v>153</v>
      </c>
      <c r="R37" s="246">
        <v>22</v>
      </c>
      <c r="S37" s="351">
        <f t="shared" si="22"/>
        <v>0</v>
      </c>
      <c r="T37" s="244"/>
      <c r="U37" s="238" t="s">
        <v>170</v>
      </c>
      <c r="V37" s="245">
        <v>22</v>
      </c>
      <c r="W37" s="350"/>
      <c r="X37" s="232"/>
      <c r="Y37" s="238" t="s">
        <v>170</v>
      </c>
      <c r="Z37" s="246">
        <v>22</v>
      </c>
      <c r="AA37" s="350">
        <f t="shared" ref="AA37:AA42" si="25">IF(Y37=0,0,$AM7)</f>
        <v>0</v>
      </c>
      <c r="AB37" s="239"/>
      <c r="AC37" s="238" t="s">
        <v>152</v>
      </c>
      <c r="AD37" s="245">
        <v>22</v>
      </c>
      <c r="AE37" s="351">
        <f>IF(AC37=0,0,' Horaires hors période scolaire'!$N7)</f>
        <v>0</v>
      </c>
      <c r="AF37" s="244"/>
      <c r="AG37" s="238" t="s">
        <v>154</v>
      </c>
      <c r="AH37" s="243">
        <v>22</v>
      </c>
      <c r="AI37" s="351">
        <f t="shared" si="21"/>
        <v>0</v>
      </c>
      <c r="AJ37" s="244"/>
      <c r="AK37" s="238" t="s">
        <v>148</v>
      </c>
      <c r="AL37" s="246">
        <v>22</v>
      </c>
      <c r="AM37" s="351">
        <f t="shared" si="24"/>
        <v>0</v>
      </c>
      <c r="AN37" s="244"/>
      <c r="AO37" s="238" t="s">
        <v>152</v>
      </c>
      <c r="AP37" s="245">
        <v>22</v>
      </c>
      <c r="AQ37" s="351">
        <f>IF(AO37=0,0,' Horaires hors période scolaire'!$N7)</f>
        <v>0</v>
      </c>
      <c r="AR37" s="244"/>
      <c r="AS37" s="238" t="s">
        <v>155</v>
      </c>
      <c r="AT37" s="245">
        <v>22</v>
      </c>
      <c r="AU37" s="351">
        <f>IF(AS37=0,0,' Horaires hors période scolaire'!$N10)</f>
        <v>0</v>
      </c>
      <c r="AV37" s="249">
        <f>SUM(AU32:AU37)</f>
        <v>0</v>
      </c>
    </row>
    <row r="38" spans="1:58" s="189" customFormat="1" ht="10.7" customHeight="1" thickBot="1">
      <c r="A38" s="242" t="s">
        <v>151</v>
      </c>
      <c r="B38" s="243">
        <v>23</v>
      </c>
      <c r="C38" s="351">
        <f t="shared" si="23"/>
        <v>0</v>
      </c>
      <c r="D38" s="244"/>
      <c r="E38" s="238" t="s">
        <v>153</v>
      </c>
      <c r="F38" s="245">
        <v>23</v>
      </c>
      <c r="G38" s="351">
        <f>IF(E38=0,0,' Horaires hors période scolaire'!$N8)</f>
        <v>0</v>
      </c>
      <c r="H38" s="244"/>
      <c r="I38" s="238" t="s">
        <v>170</v>
      </c>
      <c r="J38" s="246">
        <v>23</v>
      </c>
      <c r="K38" s="350">
        <f t="shared" ref="K38:K43" si="26">IF(I38=0,0,$AM7)</f>
        <v>0</v>
      </c>
      <c r="L38" s="232"/>
      <c r="M38" s="238" t="s">
        <v>151</v>
      </c>
      <c r="N38" s="245">
        <v>23</v>
      </c>
      <c r="O38" s="351">
        <f>IF(M38=0,0,' Horaires hors période scolaire'!$N6)</f>
        <v>0</v>
      </c>
      <c r="P38" s="244"/>
      <c r="Q38" s="238" t="s">
        <v>154</v>
      </c>
      <c r="R38" s="246">
        <v>23</v>
      </c>
      <c r="S38" s="351">
        <f t="shared" si="22"/>
        <v>0</v>
      </c>
      <c r="T38" s="244"/>
      <c r="U38" s="238" t="s">
        <v>148</v>
      </c>
      <c r="V38" s="245">
        <v>23</v>
      </c>
      <c r="W38" s="351">
        <f>IF(U38=0,0,' Horaires hors période scolaire'!$N5)</f>
        <v>0</v>
      </c>
      <c r="X38" s="244"/>
      <c r="Y38" s="238" t="s">
        <v>148</v>
      </c>
      <c r="Z38" s="246">
        <v>23</v>
      </c>
      <c r="AA38" s="351">
        <f t="shared" si="25"/>
        <v>0</v>
      </c>
      <c r="AB38" s="247"/>
      <c r="AC38" s="238" t="s">
        <v>153</v>
      </c>
      <c r="AD38" s="245">
        <v>23</v>
      </c>
      <c r="AE38" s="351">
        <f>IF(AC38=0,0,' Horaires hors période scolaire'!$N8)</f>
        <v>0</v>
      </c>
      <c r="AF38" s="244"/>
      <c r="AG38" s="238" t="s">
        <v>155</v>
      </c>
      <c r="AH38" s="243">
        <v>23</v>
      </c>
      <c r="AI38" s="355"/>
      <c r="AJ38" s="249">
        <f>SUM(AI32:AI37)</f>
        <v>0</v>
      </c>
      <c r="AK38" s="238" t="s">
        <v>151</v>
      </c>
      <c r="AL38" s="246">
        <v>23</v>
      </c>
      <c r="AM38" s="351">
        <f t="shared" si="24"/>
        <v>0</v>
      </c>
      <c r="AN38" s="244"/>
      <c r="AO38" s="238" t="s">
        <v>153</v>
      </c>
      <c r="AP38" s="245">
        <v>23</v>
      </c>
      <c r="AQ38" s="351">
        <f>IF(AO38=0,0,' Horaires hors période scolaire'!$N8)</f>
        <v>0</v>
      </c>
      <c r="AR38" s="244"/>
      <c r="AS38" s="238" t="s">
        <v>170</v>
      </c>
      <c r="AT38" s="245">
        <v>23</v>
      </c>
      <c r="AU38" s="359"/>
      <c r="AV38" s="232"/>
    </row>
    <row r="39" spans="1:58" s="189" customFormat="1" ht="10.7" customHeight="1" thickBot="1">
      <c r="A39" s="242" t="s">
        <v>152</v>
      </c>
      <c r="B39" s="243">
        <v>24</v>
      </c>
      <c r="C39" s="351">
        <f t="shared" si="23"/>
        <v>0</v>
      </c>
      <c r="D39" s="244"/>
      <c r="E39" s="238" t="s">
        <v>154</v>
      </c>
      <c r="F39" s="245">
        <v>24</v>
      </c>
      <c r="G39" s="351">
        <f>IF(E39=0,0,' Horaires hors période scolaire'!$N9)</f>
        <v>0</v>
      </c>
      <c r="H39" s="244"/>
      <c r="I39" s="238" t="s">
        <v>148</v>
      </c>
      <c r="J39" s="246">
        <v>24</v>
      </c>
      <c r="K39" s="351">
        <f t="shared" si="26"/>
        <v>0</v>
      </c>
      <c r="L39" s="244"/>
      <c r="M39" s="238" t="s">
        <v>152</v>
      </c>
      <c r="N39" s="245">
        <v>24</v>
      </c>
      <c r="O39" s="351">
        <f>IF(M39=0,0,' Horaires hors période scolaire'!$N7)</f>
        <v>0</v>
      </c>
      <c r="P39" s="244"/>
      <c r="Q39" s="238" t="s">
        <v>155</v>
      </c>
      <c r="R39" s="246">
        <v>24</v>
      </c>
      <c r="S39" s="355"/>
      <c r="T39" s="249">
        <f>SUM(S33:S38)</f>
        <v>0</v>
      </c>
      <c r="U39" s="238" t="s">
        <v>151</v>
      </c>
      <c r="V39" s="245">
        <v>24</v>
      </c>
      <c r="W39" s="351">
        <f>IF(U39=0,0,' Horaires hors période scolaire'!$N6)</f>
        <v>0</v>
      </c>
      <c r="X39" s="244"/>
      <c r="Y39" s="238" t="s">
        <v>151</v>
      </c>
      <c r="Z39" s="246">
        <v>24</v>
      </c>
      <c r="AA39" s="351">
        <f t="shared" si="25"/>
        <v>0</v>
      </c>
      <c r="AB39" s="247"/>
      <c r="AC39" s="238" t="s">
        <v>154</v>
      </c>
      <c r="AD39" s="245">
        <v>24</v>
      </c>
      <c r="AE39" s="351">
        <f>IF(AC39=0,0,' Horaires hors période scolaire'!$N9)</f>
        <v>0</v>
      </c>
      <c r="AF39" s="244"/>
      <c r="AG39" s="238" t="s">
        <v>170</v>
      </c>
      <c r="AH39" s="243">
        <v>24</v>
      </c>
      <c r="AI39" s="353"/>
      <c r="AJ39" s="232"/>
      <c r="AK39" s="238" t="s">
        <v>152</v>
      </c>
      <c r="AL39" s="246">
        <v>24</v>
      </c>
      <c r="AM39" s="351">
        <f t="shared" si="24"/>
        <v>0</v>
      </c>
      <c r="AN39" s="244"/>
      <c r="AO39" s="238" t="s">
        <v>154</v>
      </c>
      <c r="AP39" s="245">
        <v>24</v>
      </c>
      <c r="AQ39" s="351">
        <f>IF(AO39=0,0,' Horaires hors période scolaire'!$N9)</f>
        <v>0</v>
      </c>
      <c r="AR39" s="244"/>
      <c r="AS39" s="238" t="s">
        <v>148</v>
      </c>
      <c r="AT39" s="245">
        <v>24</v>
      </c>
      <c r="AU39" s="351">
        <f>IF(AS39=0,0,' Horaires hors période scolaire'!$N5)</f>
        <v>0</v>
      </c>
      <c r="AV39" s="244"/>
    </row>
    <row r="40" spans="1:58" s="189" customFormat="1" ht="10.7" customHeight="1" thickBot="1">
      <c r="A40" s="242" t="s">
        <v>153</v>
      </c>
      <c r="B40" s="243">
        <v>25</v>
      </c>
      <c r="C40" s="351">
        <f t="shared" si="23"/>
        <v>0</v>
      </c>
      <c r="D40" s="244"/>
      <c r="E40" s="238" t="s">
        <v>155</v>
      </c>
      <c r="F40" s="245">
        <v>25</v>
      </c>
      <c r="G40" s="351">
        <f>IF(E40=0,0,' Horaires hors période scolaire'!$N10)</f>
        <v>0</v>
      </c>
      <c r="H40" s="249">
        <f>SUM(G35:G40)</f>
        <v>0</v>
      </c>
      <c r="I40" s="238" t="s">
        <v>151</v>
      </c>
      <c r="J40" s="246">
        <v>25</v>
      </c>
      <c r="K40" s="351">
        <f t="shared" si="26"/>
        <v>0</v>
      </c>
      <c r="L40" s="244"/>
      <c r="M40" s="238" t="s">
        <v>153</v>
      </c>
      <c r="N40" s="253">
        <v>25</v>
      </c>
      <c r="O40" s="254"/>
      <c r="P40" s="364" t="s">
        <v>197</v>
      </c>
      <c r="Q40" s="238" t="s">
        <v>170</v>
      </c>
      <c r="R40" s="246">
        <v>25</v>
      </c>
      <c r="S40" s="350">
        <f t="shared" ref="S40:S45" si="27">IF(Q40=0,0,$AM7)</f>
        <v>0</v>
      </c>
      <c r="T40" s="232"/>
      <c r="U40" s="238" t="s">
        <v>152</v>
      </c>
      <c r="V40" s="245">
        <v>25</v>
      </c>
      <c r="W40" s="351">
        <f>IF(U40=0,0,' Horaires hors période scolaire'!$N7)</f>
        <v>0</v>
      </c>
      <c r="X40" s="244"/>
      <c r="Y40" s="238" t="s">
        <v>152</v>
      </c>
      <c r="Z40" s="246">
        <v>25</v>
      </c>
      <c r="AA40" s="351">
        <f t="shared" si="25"/>
        <v>0</v>
      </c>
      <c r="AB40" s="247"/>
      <c r="AC40" s="238" t="s">
        <v>155</v>
      </c>
      <c r="AD40" s="245">
        <v>25</v>
      </c>
      <c r="AE40" s="351">
        <f>IF(AC40=0,0,' Horaires hors période scolaire'!$N10)</f>
        <v>0</v>
      </c>
      <c r="AF40" s="249">
        <f>SUM(AE35:AE40)</f>
        <v>0</v>
      </c>
      <c r="AG40" s="238" t="s">
        <v>148</v>
      </c>
      <c r="AH40" s="243">
        <v>25</v>
      </c>
      <c r="AI40" s="363">
        <f>IF(AG40=0,0,$AM8)</f>
        <v>0</v>
      </c>
      <c r="AJ40" s="364" t="s">
        <v>198</v>
      </c>
      <c r="AK40" s="238" t="s">
        <v>153</v>
      </c>
      <c r="AL40" s="246">
        <v>25</v>
      </c>
      <c r="AM40" s="351">
        <f t="shared" si="24"/>
        <v>0</v>
      </c>
      <c r="AN40" s="244"/>
      <c r="AO40" s="238" t="s">
        <v>155</v>
      </c>
      <c r="AP40" s="245">
        <v>25</v>
      </c>
      <c r="AQ40" s="351">
        <f>IF(AO40=0,0,' Horaires hors période scolaire'!$N10)</f>
        <v>0</v>
      </c>
      <c r="AR40" s="249">
        <f>SUM(AQ35:AQ40)</f>
        <v>0</v>
      </c>
      <c r="AS40" s="238" t="s">
        <v>151</v>
      </c>
      <c r="AT40" s="245">
        <v>25</v>
      </c>
      <c r="AU40" s="351">
        <f>IF(AS40=0,0,' Horaires hors période scolaire'!$N6)</f>
        <v>0</v>
      </c>
      <c r="AV40" s="244"/>
    </row>
    <row r="41" spans="1:58" s="189" customFormat="1" ht="10.7" customHeight="1">
      <c r="A41" s="242" t="s">
        <v>154</v>
      </c>
      <c r="B41" s="243">
        <v>26</v>
      </c>
      <c r="C41" s="351">
        <f t="shared" si="23"/>
        <v>0</v>
      </c>
      <c r="D41" s="244"/>
      <c r="E41" s="238" t="s">
        <v>170</v>
      </c>
      <c r="F41" s="245">
        <v>26</v>
      </c>
      <c r="G41" s="359"/>
      <c r="H41" s="232"/>
      <c r="I41" s="238" t="s">
        <v>152</v>
      </c>
      <c r="J41" s="246">
        <v>26</v>
      </c>
      <c r="K41" s="351">
        <f t="shared" si="26"/>
        <v>0</v>
      </c>
      <c r="L41" s="244"/>
      <c r="M41" s="238" t="s">
        <v>154</v>
      </c>
      <c r="N41" s="245">
        <v>26</v>
      </c>
      <c r="O41" s="351">
        <f>IF(M41=0,0,' Horaires hors période scolaire'!$N9)</f>
        <v>0</v>
      </c>
      <c r="P41" s="244"/>
      <c r="Q41" s="238" t="s">
        <v>148</v>
      </c>
      <c r="R41" s="246">
        <v>26</v>
      </c>
      <c r="S41" s="351">
        <f t="shared" si="27"/>
        <v>0</v>
      </c>
      <c r="T41" s="244"/>
      <c r="U41" s="238" t="s">
        <v>153</v>
      </c>
      <c r="V41" s="245">
        <v>26</v>
      </c>
      <c r="W41" s="351">
        <f>IF(U41=0,0,' Horaires hors période scolaire'!$N8)</f>
        <v>0</v>
      </c>
      <c r="X41" s="244"/>
      <c r="Y41" s="238" t="s">
        <v>153</v>
      </c>
      <c r="Z41" s="246">
        <v>26</v>
      </c>
      <c r="AA41" s="351">
        <f t="shared" si="25"/>
        <v>0</v>
      </c>
      <c r="AB41" s="247"/>
      <c r="AC41" s="238" t="s">
        <v>170</v>
      </c>
      <c r="AD41" s="245">
        <v>26</v>
      </c>
      <c r="AE41" s="353"/>
      <c r="AF41" s="232"/>
      <c r="AG41" s="238" t="s">
        <v>151</v>
      </c>
      <c r="AH41" s="243">
        <v>26</v>
      </c>
      <c r="AI41" s="351">
        <f>IF(AG41=0,0,$AM9)</f>
        <v>0</v>
      </c>
      <c r="AJ41" s="244"/>
      <c r="AK41" s="238" t="s">
        <v>154</v>
      </c>
      <c r="AL41" s="246">
        <v>26</v>
      </c>
      <c r="AM41" s="351">
        <f t="shared" si="24"/>
        <v>0</v>
      </c>
      <c r="AN41" s="244"/>
      <c r="AO41" s="238" t="s">
        <v>170</v>
      </c>
      <c r="AP41" s="245">
        <v>26</v>
      </c>
      <c r="AQ41" s="359"/>
      <c r="AR41" s="232"/>
      <c r="AS41" s="238" t="s">
        <v>152</v>
      </c>
      <c r="AT41" s="245">
        <v>26</v>
      </c>
      <c r="AU41" s="351">
        <f>IF(AS41=0,0,' Horaires hors période scolaire'!$N7)</f>
        <v>0</v>
      </c>
      <c r="AV41" s="244"/>
      <c r="AY41" s="241"/>
    </row>
    <row r="42" spans="1:58" s="189" customFormat="1" ht="10.7" customHeight="1" thickBot="1">
      <c r="A42" s="242" t="s">
        <v>155</v>
      </c>
      <c r="B42" s="243">
        <v>27</v>
      </c>
      <c r="C42" s="355"/>
      <c r="D42" s="249">
        <f>SUM(C36:C41)</f>
        <v>0</v>
      </c>
      <c r="E42" s="238" t="s">
        <v>148</v>
      </c>
      <c r="F42" s="245">
        <v>27</v>
      </c>
      <c r="G42" s="351">
        <f>IF(E42=0,0,' Horaires hors période scolaire'!$N5)</f>
        <v>0</v>
      </c>
      <c r="H42" s="244"/>
      <c r="I42" s="238" t="s">
        <v>153</v>
      </c>
      <c r="J42" s="246">
        <v>27</v>
      </c>
      <c r="K42" s="351">
        <f t="shared" si="26"/>
        <v>0</v>
      </c>
      <c r="L42" s="244"/>
      <c r="M42" s="238" t="s">
        <v>155</v>
      </c>
      <c r="N42" s="245">
        <v>27</v>
      </c>
      <c r="O42" s="351">
        <f>IF(M42=0,0,' Horaires hors période scolaire'!$N10)</f>
        <v>0</v>
      </c>
      <c r="P42" s="249">
        <f>SUM(O37:O42)</f>
        <v>0</v>
      </c>
      <c r="Q42" s="238" t="s">
        <v>151</v>
      </c>
      <c r="R42" s="246">
        <v>27</v>
      </c>
      <c r="S42" s="351">
        <f t="shared" si="27"/>
        <v>0</v>
      </c>
      <c r="T42" s="244"/>
      <c r="U42" s="238" t="s">
        <v>154</v>
      </c>
      <c r="V42" s="245">
        <v>27</v>
      </c>
      <c r="W42" s="351">
        <f>IF(U42=0,0,' Horaires hors période scolaire'!$N9)</f>
        <v>0</v>
      </c>
      <c r="X42" s="244"/>
      <c r="Y42" s="238" t="s">
        <v>154</v>
      </c>
      <c r="Z42" s="246">
        <v>27</v>
      </c>
      <c r="AA42" s="351">
        <f t="shared" si="25"/>
        <v>0</v>
      </c>
      <c r="AB42" s="247"/>
      <c r="AC42" s="238" t="s">
        <v>148</v>
      </c>
      <c r="AD42" s="245">
        <v>27</v>
      </c>
      <c r="AE42" s="351">
        <f>IF(AC42=0,0,' Horaires hors période scolaire'!$N5)</f>
        <v>0</v>
      </c>
      <c r="AF42" s="244"/>
      <c r="AG42" s="238" t="s">
        <v>152</v>
      </c>
      <c r="AH42" s="243">
        <v>27</v>
      </c>
      <c r="AI42" s="351">
        <f>IF(AG42=0,0,$AM10)</f>
        <v>0</v>
      </c>
      <c r="AJ42" s="244"/>
      <c r="AK42" s="238" t="s">
        <v>155</v>
      </c>
      <c r="AL42" s="246">
        <v>27</v>
      </c>
      <c r="AM42" s="355"/>
      <c r="AN42" s="249">
        <f>SUM(AM36:AM41)</f>
        <v>0</v>
      </c>
      <c r="AO42" s="238" t="s">
        <v>148</v>
      </c>
      <c r="AP42" s="245">
        <v>27</v>
      </c>
      <c r="AQ42" s="351">
        <f>IF(AO42=0,0,' Horaires hors période scolaire'!$N5)</f>
        <v>0</v>
      </c>
      <c r="AR42" s="244"/>
      <c r="AS42" s="238" t="s">
        <v>153</v>
      </c>
      <c r="AT42" s="245">
        <v>27</v>
      </c>
      <c r="AU42" s="351">
        <f>IF(AS42=0,0,' Horaires hors période scolaire'!$N8)</f>
        <v>0</v>
      </c>
      <c r="AV42" s="244"/>
      <c r="AY42" s="241"/>
    </row>
    <row r="43" spans="1:58" s="189" customFormat="1" ht="10.7" customHeight="1" thickBot="1">
      <c r="A43" s="242" t="s">
        <v>170</v>
      </c>
      <c r="B43" s="243">
        <v>28</v>
      </c>
      <c r="C43" s="350">
        <f>IF(A43=0,0,$AM7)</f>
        <v>0</v>
      </c>
      <c r="D43" s="232"/>
      <c r="E43" s="238" t="s">
        <v>151</v>
      </c>
      <c r="F43" s="245">
        <v>28</v>
      </c>
      <c r="G43" s="351">
        <f>IF(E43=0,0,' Horaires hors période scolaire'!$N6)</f>
        <v>0</v>
      </c>
      <c r="H43" s="244"/>
      <c r="I43" s="238" t="s">
        <v>154</v>
      </c>
      <c r="J43" s="246">
        <v>28</v>
      </c>
      <c r="K43" s="351">
        <f t="shared" si="26"/>
        <v>0</v>
      </c>
      <c r="L43" s="244"/>
      <c r="M43" s="238" t="s">
        <v>170</v>
      </c>
      <c r="N43" s="245">
        <v>28</v>
      </c>
      <c r="O43" s="350"/>
      <c r="P43" s="232"/>
      <c r="Q43" s="238" t="s">
        <v>152</v>
      </c>
      <c r="R43" s="246">
        <v>28</v>
      </c>
      <c r="S43" s="351">
        <f t="shared" si="27"/>
        <v>0</v>
      </c>
      <c r="T43" s="244"/>
      <c r="U43" s="238" t="s">
        <v>155</v>
      </c>
      <c r="V43" s="245">
        <v>28</v>
      </c>
      <c r="W43" s="351">
        <f>IF(U43=0,0,' Horaires hors période scolaire'!$N10)</f>
        <v>0</v>
      </c>
      <c r="X43" s="249">
        <f>SUM(W38:W43)</f>
        <v>0</v>
      </c>
      <c r="Y43" s="238" t="s">
        <v>155</v>
      </c>
      <c r="Z43" s="246">
        <v>28</v>
      </c>
      <c r="AA43" s="355"/>
      <c r="AB43" s="249">
        <f>SUM(AA37:AA42)</f>
        <v>0</v>
      </c>
      <c r="AC43" s="238" t="s">
        <v>151</v>
      </c>
      <c r="AD43" s="245">
        <v>28</v>
      </c>
      <c r="AE43" s="351">
        <f>IF(AC43=0,0,' Horaires hors période scolaire'!$N6)</f>
        <v>0</v>
      </c>
      <c r="AF43" s="244"/>
      <c r="AG43" s="238" t="s">
        <v>153</v>
      </c>
      <c r="AH43" s="243">
        <v>28</v>
      </c>
      <c r="AI43" s="351">
        <f>IF(AG43=0,0,$AM11)</f>
        <v>0</v>
      </c>
      <c r="AJ43" s="244"/>
      <c r="AK43" s="238" t="s">
        <v>170</v>
      </c>
      <c r="AL43" s="246">
        <v>28</v>
      </c>
      <c r="AM43" s="350">
        <f>IF(AK43=0,0,$AM7)</f>
        <v>0</v>
      </c>
      <c r="AN43" s="232"/>
      <c r="AO43" s="238" t="s">
        <v>151</v>
      </c>
      <c r="AP43" s="245">
        <v>28</v>
      </c>
      <c r="AQ43" s="351">
        <f>IF(AO43=0,0,' Horaires hors période scolaire'!$N6)</f>
        <v>0</v>
      </c>
      <c r="AR43" s="244"/>
      <c r="AS43" s="238" t="s">
        <v>154</v>
      </c>
      <c r="AT43" s="245">
        <v>28</v>
      </c>
      <c r="AU43" s="351">
        <f>IF(AS43=0,0,' Horaires hors période scolaire'!$N9)</f>
        <v>0</v>
      </c>
      <c r="AV43" s="244"/>
      <c r="AY43" s="241"/>
    </row>
    <row r="44" spans="1:58" s="189" customFormat="1" ht="10.7" customHeight="1" thickBot="1">
      <c r="A44" s="242" t="s">
        <v>148</v>
      </c>
      <c r="B44" s="243">
        <v>29</v>
      </c>
      <c r="C44" s="351">
        <f>IF(A44=0,0,$AM8)</f>
        <v>0</v>
      </c>
      <c r="D44" s="244"/>
      <c r="E44" s="238" t="s">
        <v>152</v>
      </c>
      <c r="F44" s="245">
        <v>29</v>
      </c>
      <c r="G44" s="351">
        <f>IF(E44=0,0,' Horaires hors période scolaire'!$N7)</f>
        <v>0</v>
      </c>
      <c r="H44" s="244"/>
      <c r="I44" s="238" t="s">
        <v>155</v>
      </c>
      <c r="J44" s="246">
        <v>29</v>
      </c>
      <c r="K44" s="355"/>
      <c r="L44" s="249">
        <f>SUM(K38:K43)</f>
        <v>0</v>
      </c>
      <c r="M44" s="238" t="s">
        <v>148</v>
      </c>
      <c r="N44" s="245">
        <v>29</v>
      </c>
      <c r="O44" s="351">
        <f>IF(M44=0,0,' Horaires hors période scolaire'!$N5)</f>
        <v>0</v>
      </c>
      <c r="P44" s="244"/>
      <c r="Q44" s="238" t="s">
        <v>153</v>
      </c>
      <c r="R44" s="246">
        <v>29</v>
      </c>
      <c r="S44" s="351">
        <f t="shared" si="27"/>
        <v>0</v>
      </c>
      <c r="T44" s="244"/>
      <c r="U44" s="238"/>
      <c r="V44" s="258"/>
      <c r="W44" s="350"/>
      <c r="X44" s="232"/>
      <c r="Y44" s="238" t="s">
        <v>170</v>
      </c>
      <c r="Z44" s="246">
        <v>29</v>
      </c>
      <c r="AA44" s="350">
        <f>IF(Y44=0,0,$AM7)</f>
        <v>0</v>
      </c>
      <c r="AB44" s="239"/>
      <c r="AC44" s="238" t="s">
        <v>152</v>
      </c>
      <c r="AD44" s="245">
        <v>29</v>
      </c>
      <c r="AE44" s="351">
        <f>IF(AC44=0,0,' Horaires hors période scolaire'!$N7)</f>
        <v>0</v>
      </c>
      <c r="AF44" s="244"/>
      <c r="AG44" s="238" t="s">
        <v>154</v>
      </c>
      <c r="AH44" s="243">
        <v>29</v>
      </c>
      <c r="AI44" s="351">
        <f>IF(AG44=0,0,$AM12)</f>
        <v>0</v>
      </c>
      <c r="AJ44" s="244"/>
      <c r="AK44" s="238" t="s">
        <v>148</v>
      </c>
      <c r="AL44" s="246">
        <v>29</v>
      </c>
      <c r="AM44" s="351">
        <f>IF(AK44=0,0,$AM8)</f>
        <v>0</v>
      </c>
      <c r="AN44" s="244"/>
      <c r="AO44" s="238" t="s">
        <v>152</v>
      </c>
      <c r="AP44" s="245">
        <v>29</v>
      </c>
      <c r="AQ44" s="351">
        <f>IF(AO44=0,0,' Horaires hors période scolaire'!$N7)</f>
        <v>0</v>
      </c>
      <c r="AR44" s="244"/>
      <c r="AS44" s="238" t="s">
        <v>155</v>
      </c>
      <c r="AT44" s="245">
        <v>29</v>
      </c>
      <c r="AU44" s="351">
        <f>IF(AS44=0,0,' Horaires hors période scolaire'!$N10)</f>
        <v>0</v>
      </c>
      <c r="AV44" s="249">
        <f>SUM(AU39:AU44)</f>
        <v>0</v>
      </c>
      <c r="AY44" s="241"/>
    </row>
    <row r="45" spans="1:58" s="189" customFormat="1" ht="10.7" customHeight="1" thickBot="1">
      <c r="A45" s="242" t="s">
        <v>151</v>
      </c>
      <c r="B45" s="243">
        <v>30</v>
      </c>
      <c r="C45" s="351">
        <f>IF(A45=0,0,$AM9)</f>
        <v>0</v>
      </c>
      <c r="D45" s="244"/>
      <c r="E45" s="238" t="s">
        <v>153</v>
      </c>
      <c r="F45" s="245">
        <v>30</v>
      </c>
      <c r="G45" s="351">
        <f>IF(E45=0,0,' Horaires hors période scolaire'!$N8)</f>
        <v>0</v>
      </c>
      <c r="H45" s="259"/>
      <c r="I45" s="238" t="s">
        <v>170</v>
      </c>
      <c r="J45" s="246">
        <v>30</v>
      </c>
      <c r="K45" s="353">
        <f>IF(I45=0,0,$AM7)</f>
        <v>0</v>
      </c>
      <c r="L45" s="232"/>
      <c r="M45" s="238" t="s">
        <v>151</v>
      </c>
      <c r="N45" s="245">
        <v>30</v>
      </c>
      <c r="O45" s="351">
        <f>IF(M45=0,0,' Horaires hors période scolaire'!$N6)</f>
        <v>0</v>
      </c>
      <c r="P45" s="244"/>
      <c r="Q45" s="238" t="s">
        <v>154</v>
      </c>
      <c r="R45" s="246">
        <v>30</v>
      </c>
      <c r="S45" s="351">
        <f t="shared" si="27"/>
        <v>0</v>
      </c>
      <c r="T45" s="244"/>
      <c r="U45" s="238"/>
      <c r="V45" s="258"/>
      <c r="W45" s="351"/>
      <c r="X45" s="244"/>
      <c r="Y45" s="238" t="s">
        <v>148</v>
      </c>
      <c r="Z45" s="246">
        <v>30</v>
      </c>
      <c r="AA45" s="351">
        <f>IF(Y45=0,0,$AM8)</f>
        <v>0</v>
      </c>
      <c r="AB45" s="247"/>
      <c r="AC45" s="238" t="s">
        <v>153</v>
      </c>
      <c r="AD45" s="245">
        <v>30</v>
      </c>
      <c r="AE45" s="351">
        <f>IF(AC45=0,0,' Horaires hors période scolaire'!$N8)</f>
        <v>0</v>
      </c>
      <c r="AF45" s="244"/>
      <c r="AG45" s="238" t="s">
        <v>155</v>
      </c>
      <c r="AH45" s="243">
        <v>30</v>
      </c>
      <c r="AI45" s="355"/>
      <c r="AJ45" s="249">
        <f>SUM(AI39:AI44)</f>
        <v>0</v>
      </c>
      <c r="AK45" s="238" t="s">
        <v>151</v>
      </c>
      <c r="AL45" s="246">
        <v>30</v>
      </c>
      <c r="AM45" s="351">
        <f>IF(AK45=0,0,$AM9)</f>
        <v>0</v>
      </c>
      <c r="AN45" s="244"/>
      <c r="AO45" s="238" t="s">
        <v>153</v>
      </c>
      <c r="AP45" s="245">
        <v>30</v>
      </c>
      <c r="AQ45" s="351">
        <f>IF(AO45=0,0,' Horaires hors période scolaire'!$N8)</f>
        <v>0</v>
      </c>
      <c r="AR45" s="244"/>
      <c r="AS45" s="238" t="s">
        <v>170</v>
      </c>
      <c r="AT45" s="245">
        <v>30</v>
      </c>
      <c r="AU45" s="359"/>
      <c r="AV45" s="232"/>
      <c r="AY45" s="241"/>
      <c r="AZ45" s="520"/>
      <c r="BA45" s="520"/>
      <c r="BB45" s="520"/>
      <c r="BC45" s="520"/>
      <c r="BD45" s="520"/>
      <c r="BE45" s="520"/>
      <c r="BF45" s="521"/>
    </row>
    <row r="46" spans="1:58" s="189" customFormat="1" ht="10.7" customHeight="1" thickBot="1">
      <c r="A46" s="260"/>
      <c r="B46" s="261"/>
      <c r="C46" s="351"/>
      <c r="D46" s="259"/>
      <c r="E46" s="262" t="s">
        <v>154</v>
      </c>
      <c r="F46" s="263">
        <v>31</v>
      </c>
      <c r="G46" s="351">
        <f>IF(E46=0,0,' Horaires hors période scolaire'!$N9)</f>
        <v>0</v>
      </c>
      <c r="H46" s="264"/>
      <c r="I46" s="262"/>
      <c r="J46" s="265"/>
      <c r="K46" s="250"/>
      <c r="L46" s="264"/>
      <c r="M46" s="262" t="s">
        <v>152</v>
      </c>
      <c r="N46" s="263">
        <v>31</v>
      </c>
      <c r="O46" s="351">
        <f>IF(M46=0,0,' Horaires hors période scolaire'!$N7)</f>
        <v>0</v>
      </c>
      <c r="P46" s="244"/>
      <c r="Q46" s="262" t="s">
        <v>155</v>
      </c>
      <c r="R46" s="266">
        <v>31</v>
      </c>
      <c r="S46" s="352"/>
      <c r="T46" s="252">
        <f>SUM(S40:S45)</f>
        <v>0</v>
      </c>
      <c r="U46" s="262"/>
      <c r="V46" s="265"/>
      <c r="W46" s="351"/>
      <c r="X46" s="244"/>
      <c r="Y46" s="262" t="s">
        <v>151</v>
      </c>
      <c r="Z46" s="266">
        <v>31</v>
      </c>
      <c r="AA46" s="351">
        <f>IF(Y46=0,0,$AM9)</f>
        <v>0</v>
      </c>
      <c r="AB46" s="247"/>
      <c r="AC46" s="267"/>
      <c r="AD46" s="265"/>
      <c r="AE46" s="351"/>
      <c r="AF46" s="259"/>
      <c r="AG46" s="262" t="s">
        <v>170</v>
      </c>
      <c r="AH46" s="261">
        <v>31</v>
      </c>
      <c r="AI46" s="353">
        <f>IF(AG46=0,0,$AM7)</f>
        <v>0</v>
      </c>
      <c r="AJ46" s="232"/>
      <c r="AK46" s="262"/>
      <c r="AL46" s="268"/>
      <c r="AM46" s="351">
        <f>IF(AK46=0,0,$S12)</f>
        <v>0</v>
      </c>
      <c r="AN46" s="259"/>
      <c r="AO46" s="262" t="s">
        <v>154</v>
      </c>
      <c r="AP46" s="263">
        <v>31</v>
      </c>
      <c r="AQ46" s="351">
        <f>IF(AO46=0,0,' Horaires hors période scolaire'!$N9)</f>
        <v>0</v>
      </c>
      <c r="AR46" s="259"/>
      <c r="AS46" s="262" t="s">
        <v>148</v>
      </c>
      <c r="AT46" s="263">
        <v>31</v>
      </c>
      <c r="AU46" s="351">
        <f>IF(AS46=0,0,' Horaires hors période scolaire'!$N5)</f>
        <v>0</v>
      </c>
      <c r="AV46" s="244"/>
      <c r="AY46" s="241"/>
    </row>
    <row r="47" spans="1:58" s="272" customFormat="1" thickBot="1">
      <c r="A47" s="269" t="s">
        <v>199</v>
      </c>
      <c r="B47" s="270"/>
      <c r="C47" s="522">
        <f>SUM(C16:C20,C22:C27,C29:C34,C36:C41,C43:C45)</f>
        <v>0</v>
      </c>
      <c r="D47" s="523"/>
      <c r="E47" s="271"/>
      <c r="F47" s="271"/>
      <c r="G47" s="522">
        <f>SUM(G16:G18,G20:G25,G27:G32,G35:G40,G42:G46)</f>
        <v>0</v>
      </c>
      <c r="H47" s="523"/>
      <c r="I47" s="271"/>
      <c r="J47" s="271"/>
      <c r="K47" s="522">
        <f>SUM(K16:K22,K24:K29,K31:K36,K38:K43,K45)</f>
        <v>0</v>
      </c>
      <c r="L47" s="523"/>
      <c r="M47" s="271"/>
      <c r="N47" s="271"/>
      <c r="O47" s="522">
        <f>SUM(O16:O20,O22:O27,O29:O34,O37:O42,O44:O46)</f>
        <v>0</v>
      </c>
      <c r="P47" s="523"/>
      <c r="Q47" s="271"/>
      <c r="R47" s="271"/>
      <c r="S47" s="522">
        <f>SUM(S16:S18,S19:S24,S26:S31,S33:S38,S40:S45)</f>
        <v>0</v>
      </c>
      <c r="T47" s="523"/>
      <c r="U47" s="271"/>
      <c r="V47" s="271"/>
      <c r="W47" s="522">
        <f>SUM(W16:W21,W23:W28,W30:W35,W38:W43)</f>
        <v>0</v>
      </c>
      <c r="X47" s="523"/>
      <c r="Y47" s="271"/>
      <c r="Z47" s="271"/>
      <c r="AA47" s="522">
        <f>SUM(AA17:AA22,AA23:AA28,AA30:AA35,AA37:AA42,AA44:AA46)</f>
        <v>0</v>
      </c>
      <c r="AB47" s="523"/>
      <c r="AC47" s="271"/>
      <c r="AD47" s="271"/>
      <c r="AE47" s="522">
        <f>SUM(AE16:AE18,AE20:AE25,AE27:AE32,AE35:AE40,AE42:AE45)</f>
        <v>0</v>
      </c>
      <c r="AF47" s="523"/>
      <c r="AG47" s="271"/>
      <c r="AH47" s="271"/>
      <c r="AI47" s="522">
        <f>SUM(AI16:AI17,AI18:AI23,AI25:AI30,AI32:AI37,AI39:AI44,AI46)</f>
        <v>0</v>
      </c>
      <c r="AJ47" s="523"/>
      <c r="AK47" s="271"/>
      <c r="AL47" s="271"/>
      <c r="AM47" s="522">
        <f>SUM(AM16:AM20,AM22:AM27,AM29:AM34,AM36:AM41,AM43:AM45)</f>
        <v>0</v>
      </c>
      <c r="AN47" s="523"/>
      <c r="AO47" s="271"/>
      <c r="AP47" s="271"/>
      <c r="AQ47" s="522">
        <f>SUM(AQ16:AQ18,AQ21:AQ26,AQ28:AQ33,AQ35:AQ40,AQ42:AQ46)</f>
        <v>0</v>
      </c>
      <c r="AR47" s="523"/>
      <c r="AS47" s="271"/>
      <c r="AT47" s="271"/>
      <c r="AU47" s="522">
        <f>SUM(AU18:AU23,AU25:AU30,AU32:AU37,AU39:AU44,AU46,AU16)</f>
        <v>0</v>
      </c>
      <c r="AV47" s="523"/>
      <c r="AY47" s="360"/>
    </row>
    <row r="48" spans="1:58" s="272" customFormat="1" thickBot="1">
      <c r="A48" s="273" t="s">
        <v>200</v>
      </c>
      <c r="B48" s="403"/>
      <c r="C48" s="524">
        <f>COUNTIF(C16:C20,"RC")+COUNTIF(C22:C27,"RC")+COUNTIF(C29:C34,"RC")+COUNTIF(C36:C41,"RC")+COUNTIF(C43:C45,"RC")</f>
        <v>0</v>
      </c>
      <c r="D48" s="525"/>
      <c r="E48" s="271"/>
      <c r="F48" s="271"/>
      <c r="G48" s="524">
        <f>COUNTIF(G16:G19,"CP")+COUNTIF(G21:G26,"CP")+COUNTIF(G28:G33,"CP")+COUNTIF(G35:G40,"CP")+COUNTIF(G42:G46,"CP")</f>
        <v>0</v>
      </c>
      <c r="H48" s="525"/>
      <c r="I48" s="271"/>
      <c r="J48" s="271"/>
      <c r="K48" s="524">
        <f>COUNTIF(K18:K23,"CP")+COUNTIF(K25,"CP")+COUNTIF(K27:K30,"CP")+COUNTIF(K32:K37,"CP")+COUNTIF(K39:K44,"CP")</f>
        <v>0</v>
      </c>
      <c r="L48" s="525"/>
      <c r="M48" s="271"/>
      <c r="N48" s="271"/>
      <c r="O48" s="524">
        <f>COUNTIF(O16:O21,"CP")+COUNTIF(O23:O28,"CP")+COUNTIF(O30:O35,"CP")+COUNTIF(O37:O39,"CP")+COUNTIF(O41:O42,"CP")+COUNTIF(O44:O46,"CP")</f>
        <v>0</v>
      </c>
      <c r="P48" s="525"/>
      <c r="Q48" s="271"/>
      <c r="R48" s="271"/>
      <c r="S48" s="524">
        <f>COUNTIF(S17:S18,"CP")+COUNTIF(S20:S25,"CP")+COUNTIF(S27:S32,"CP")+COUNTIF(S34:S39,"CP")+COUNTIF(S41:S46,"CP")</f>
        <v>0</v>
      </c>
      <c r="T48" s="525"/>
      <c r="U48" s="271"/>
      <c r="V48" s="271"/>
      <c r="W48" s="524">
        <f>COUNTIF(W17:W22,"CP")+COUNTIF(W24:W29,"CP")+COUNTIF(W31:W36,"CP")+COUNTIF(W38:W43,"CP")</f>
        <v>0</v>
      </c>
      <c r="X48" s="525"/>
      <c r="Y48" s="271"/>
      <c r="Z48" s="271"/>
      <c r="AA48" s="524">
        <f>COUNTIF(AA17:AA22,"CP")+COUNTIF(AA24:AA29,"CP")+COUNTIF(AA31:AA36,"CP")+COUNTIF(AA38:AA43,"CP")+COUNTIF(AA45:AA46,"CP")</f>
        <v>0</v>
      </c>
      <c r="AB48" s="525"/>
      <c r="AC48" s="271"/>
      <c r="AD48" s="271"/>
      <c r="AE48" s="524">
        <f>COUNTIF(AE16:AE19,"CP")+COUNTIF(AE22:AE26,"CP")+COUNTIF(AE28:AE33,"CP")+COUNTIF(AE35:AE40,"CP")+COUNTIF(AE42:AE45,"CP")</f>
        <v>0</v>
      </c>
      <c r="AF48" s="525"/>
      <c r="AG48" s="271"/>
      <c r="AH48" s="271"/>
      <c r="AI48" s="524">
        <f>COUNTIF(AI17,"CP")+COUNTIF(AI19:AI22,"CP")+COUNTIF(AI24,"CP")+COUNTIF(AI26:AI28,"CP")+COUNTIF(AI30:AI31,"CP")+COUNTIF(AI33:AI38,"CP")+COUNTIF(AI41:AI45,"CP")</f>
        <v>0</v>
      </c>
      <c r="AJ48" s="525"/>
      <c r="AK48" s="271"/>
      <c r="AL48" s="271"/>
      <c r="AM48" s="524">
        <f>COUNTIF(AM16:AM21,"CP")+COUNTIF(AM23:AM28,"CP")+COUNTIF(AM30:AM35,"CP")+COUNTIF(AM37:AM42,"CP")+COUNTIF(AM44:AM46,"CP")</f>
        <v>0</v>
      </c>
      <c r="AN48" s="525"/>
      <c r="AO48" s="271"/>
      <c r="AP48" s="271"/>
      <c r="AQ48" s="524">
        <f>COUNTIF(AQ16:AQ19,"CP")+COUNTIF(AQ21:AQ26,"CP")+COUNTIF(AQ28,"CP")+COUNTIF(AQ30:AQ33,"CP")+COUNTIF(AQ35:AQ40,"CP")+COUNTIF(AQ42:AQ46,"CP")</f>
        <v>0</v>
      </c>
      <c r="AR48" s="525"/>
      <c r="AS48" s="271"/>
      <c r="AT48" s="271"/>
      <c r="AU48" s="524">
        <f>COUNTIF(AU16,"CP")+COUNTIF(AU18:AU23,"CP")+COUNTIF(AU25:AU29,"CP")+COUNTIF(AU32:AU37,"CP")+COUNTIF(AU39:AU44,"CP")+COUNTIF(AU46,"CP")</f>
        <v>0</v>
      </c>
      <c r="AV48" s="525"/>
      <c r="AY48" s="360"/>
    </row>
    <row r="49" spans="1:51" s="272" customFormat="1" thickBot="1">
      <c r="A49" s="404" t="s">
        <v>201</v>
      </c>
      <c r="B49" s="405"/>
      <c r="C49" s="526">
        <f>COUNTIF(C16:C46,"0H")</f>
        <v>0</v>
      </c>
      <c r="D49" s="527"/>
      <c r="E49" s="271"/>
      <c r="F49" s="271"/>
      <c r="G49" s="526">
        <f>COUNTIF(G16:G46,"0H")</f>
        <v>0</v>
      </c>
      <c r="H49" s="527"/>
      <c r="I49" s="271"/>
      <c r="J49" s="271"/>
      <c r="K49" s="526">
        <f>COUNTIF(K16:K46,"0H")</f>
        <v>0</v>
      </c>
      <c r="L49" s="527"/>
      <c r="M49" s="271"/>
      <c r="N49" s="271"/>
      <c r="O49" s="526">
        <f>COUNTIF(O16:O46,"0H")</f>
        <v>0</v>
      </c>
      <c r="P49" s="527"/>
      <c r="Q49" s="271"/>
      <c r="R49" s="271"/>
      <c r="S49" s="526">
        <f>COUNTIF(S16:S46,"0H")</f>
        <v>0</v>
      </c>
      <c r="T49" s="527"/>
      <c r="U49" s="271"/>
      <c r="V49" s="271"/>
      <c r="W49" s="526">
        <f>COUNTIF(W16:W46,"0H")</f>
        <v>0</v>
      </c>
      <c r="X49" s="527"/>
      <c r="Y49" s="271"/>
      <c r="Z49" s="271"/>
      <c r="AA49" s="526">
        <f>COUNTIF(AA16:AA46,"0H")</f>
        <v>0</v>
      </c>
      <c r="AB49" s="527"/>
      <c r="AC49" s="271"/>
      <c r="AD49" s="271"/>
      <c r="AE49" s="526">
        <f>COUNTIF(AE16:AE46,"0H")</f>
        <v>0</v>
      </c>
      <c r="AF49" s="527"/>
      <c r="AG49" s="271"/>
      <c r="AH49" s="271"/>
      <c r="AI49" s="526">
        <f>COUNTIF(AI16:AI46,"0H")</f>
        <v>0</v>
      </c>
      <c r="AJ49" s="527"/>
      <c r="AK49" s="271"/>
      <c r="AL49" s="271"/>
      <c r="AM49" s="526">
        <f>COUNTIF(AM16:AM46,"0H")</f>
        <v>0</v>
      </c>
      <c r="AN49" s="527"/>
      <c r="AO49" s="271"/>
      <c r="AP49" s="271"/>
      <c r="AQ49" s="526">
        <f>COUNTIF(AQ16:AQ46,"0H")</f>
        <v>0</v>
      </c>
      <c r="AR49" s="527"/>
      <c r="AS49" s="271"/>
      <c r="AT49" s="271"/>
      <c r="AU49" s="526">
        <f>COUNTIF(AU16:AU46,"0H")</f>
        <v>0</v>
      </c>
      <c r="AV49" s="527"/>
      <c r="AY49" s="360"/>
    </row>
    <row r="50" spans="1:51" s="272" customFormat="1" thickBot="1">
      <c r="A50" s="586" t="s">
        <v>202</v>
      </c>
      <c r="B50" s="530"/>
      <c r="C50" s="529">
        <f>COUNTIF(C16:C20,"RC")+COUNTIF(C22:C27,"RC")+COUNTIF(C29:C34,"RC")+COUNTIF(C36:C41,"RC")+COUNTIF(C43:C45,"RC")</f>
        <v>0</v>
      </c>
      <c r="D50" s="530"/>
      <c r="E50" s="271"/>
      <c r="F50" s="271"/>
      <c r="G50" s="529">
        <f>COUNTIF(G16:G18,"RC")+COUNTIF(G20:G25,"RC")+COUNTIF(G27:G32,"RC")+COUNTIF(G34:G39,"RC")+COUNTIF(G41:G46,"RC")</f>
        <v>0</v>
      </c>
      <c r="H50" s="530"/>
      <c r="I50" s="271"/>
      <c r="J50" s="271"/>
      <c r="K50" s="529">
        <f>COUNTIF(K17:K22,"RC")+COUNTIF(K24:K25,"RC")+COUNTIF(K27:K29,"RC")+COUNTIF(K31:K36,"RC")+COUNTIF(K38:K43,"RC")+COUNTIF(K45,"RC")</f>
        <v>0</v>
      </c>
      <c r="L50" s="530"/>
      <c r="M50" s="271"/>
      <c r="N50" s="271"/>
      <c r="O50" s="529">
        <f>COUNTIF(O16:O20,"RC")+COUNTIF(O22:O27,"RC")+COUNTIF(O29:O34,"RC")+COUNTIF(O36:O39,"RC")+COUNTIF(O41,"RC")+COUNTIF(O43:O46,"RC")</f>
        <v>0</v>
      </c>
      <c r="P50" s="530"/>
      <c r="Q50" s="271"/>
      <c r="R50" s="271"/>
      <c r="S50" s="529">
        <f>COUNTIF(S17,"RC")+COUNTIF(S19:S24,"RC")+COUNTIF(S26:S31,"RC")+COUNTIF(S33:S38,"RC")+COUNTIF(S40:S45,"RC")</f>
        <v>0</v>
      </c>
      <c r="T50" s="530"/>
      <c r="U50" s="271"/>
      <c r="V50" s="271"/>
      <c r="W50" s="529">
        <f>COUNTIF(W16:W21,"RC")+COUNTIF(W23:W28,"RC")+COUNTIF(W30:W35,"RC")+COUNTIF(W37:W42,"RC")</f>
        <v>0</v>
      </c>
      <c r="X50" s="530"/>
      <c r="Y50" s="271"/>
      <c r="Z50" s="271"/>
      <c r="AA50" s="529">
        <f>COUNTIF(AA16:AA21,"RC")+COUNTIF(AA23:AA28,"RC")+COUNTIF(AA30:AA35,"RC")+COUNTIF(AA37:AA42,"RC")+COUNTIF(AA44:AA46,"RC")</f>
        <v>0</v>
      </c>
      <c r="AB50" s="530"/>
      <c r="AC50" s="271"/>
      <c r="AD50" s="271"/>
      <c r="AE50" s="529">
        <f>COUNTIF(AE16:AE18,"RC")+COUNTIF(AE20,"RC")+COUNTIF(AE22:AE25,"RC")+COUNTIF(AE27:AE32,"RC")+COUNTIF(AE34:AE39,"RC")+COUNTIF(AE41:AE45,"RC")</f>
        <v>0</v>
      </c>
      <c r="AF50" s="530"/>
      <c r="AG50" s="271"/>
      <c r="AH50" s="271"/>
      <c r="AI50" s="529">
        <f>COUNTIF(AI18:AI22,"RC")+COUNTIF(AI46,"RC")+COUNTIF(AI25:AI28,"RC")+COUNTIF(AI30,"RC")+COUNTIF(AI39,"RC")+COUNTIF(AI32:AI37,"RC")+COUNTIF(AI41:AI44,"RC")</f>
        <v>0</v>
      </c>
      <c r="AJ50" s="530"/>
      <c r="AK50" s="271"/>
      <c r="AL50" s="271"/>
      <c r="AM50" s="529">
        <f>COUNTIF(AM16:AM20,"RC")+COUNTIF(AM22:AM27,"RC")+COUNTIF(AM29:AM34,"RC")+COUNTIF(AM36:AM41,"RC")+COUNTIF(AM43:AM45,"RC")</f>
        <v>0</v>
      </c>
      <c r="AN50" s="530"/>
      <c r="AO50" s="271"/>
      <c r="AP50" s="271"/>
      <c r="AQ50" s="529">
        <f>COUNTIF(AQ16:AQ18,"RC")+COUNTIF(AQ20:AQ25,"RC")+COUNTIF(AQ27:AQ28,"RC")+COUNTIF(AQ30:AQ32,"RC")+COUNTIF(AQ34:AQ39,"RC")+COUNTIF(AQ41:AQ46,"RC")</f>
        <v>0</v>
      </c>
      <c r="AR50" s="530"/>
      <c r="AS50" s="271"/>
      <c r="AT50" s="271"/>
      <c r="AU50" s="529">
        <f>COUNTIF(AU45:AU46,"RC")+COUNTIF(AU17:AU22,"RC")+COUNTIF(AU24:AU29,"RC")+COUNTIF(AU31:AU36,"RC")+COUNTIF(AU38:AU43,"RC")</f>
        <v>0</v>
      </c>
      <c r="AV50" s="530"/>
      <c r="AY50" s="360"/>
    </row>
    <row r="51" spans="1:51" s="195" customFormat="1" ht="8.25" customHeight="1" thickBot="1">
      <c r="A51" s="274"/>
      <c r="B51" s="274"/>
      <c r="C51" s="275"/>
      <c r="D51" s="275"/>
      <c r="E51" s="276"/>
      <c r="F51" s="274"/>
      <c r="G51" s="275"/>
      <c r="H51" s="275"/>
      <c r="I51" s="276"/>
      <c r="J51" s="274"/>
      <c r="K51" s="275"/>
      <c r="L51" s="275"/>
      <c r="M51" s="276"/>
      <c r="N51" s="274"/>
      <c r="O51" s="275"/>
      <c r="P51" s="275"/>
      <c r="Q51" s="276"/>
      <c r="R51" s="274"/>
      <c r="S51" s="275"/>
      <c r="T51" s="275"/>
      <c r="U51" s="276"/>
      <c r="V51" s="274"/>
      <c r="W51" s="275"/>
      <c r="X51" s="275"/>
      <c r="Y51" s="276"/>
      <c r="Z51" s="274"/>
      <c r="AA51" s="275"/>
      <c r="AB51" s="276"/>
      <c r="AC51" s="276"/>
      <c r="AD51" s="274"/>
      <c r="AE51" s="275"/>
      <c r="AF51" s="275"/>
      <c r="AG51" s="276"/>
      <c r="AH51" s="274"/>
      <c r="AI51" s="275"/>
      <c r="AJ51" s="275"/>
      <c r="AK51" s="276"/>
      <c r="AL51" s="274"/>
      <c r="AM51" s="275"/>
      <c r="AN51" s="275"/>
      <c r="AO51" s="276"/>
      <c r="AP51" s="274"/>
      <c r="AQ51" s="275"/>
      <c r="AR51" s="275"/>
      <c r="AS51" s="276"/>
      <c r="AT51" s="274"/>
      <c r="AU51" s="275"/>
      <c r="AV51" s="275"/>
      <c r="AY51" s="361"/>
    </row>
    <row r="52" spans="1:51" ht="15.75" thickBot="1">
      <c r="A52" s="277" t="s">
        <v>203</v>
      </c>
      <c r="B52" s="277"/>
      <c r="C52" s="277"/>
      <c r="D52" s="277"/>
      <c r="E52" s="277"/>
      <c r="F52" s="277"/>
      <c r="G52" s="277"/>
      <c r="H52" s="277"/>
      <c r="I52" s="277"/>
      <c r="J52" s="277"/>
      <c r="K52" s="278">
        <f>C48+G48+K48+O48+S48+W48+AA48+AE48+AI48+AM48+AQ48+AU48</f>
        <v>0</v>
      </c>
      <c r="L52" s="279"/>
      <c r="M52" s="189"/>
      <c r="N52" s="189"/>
      <c r="O52" s="189"/>
      <c r="P52" s="189"/>
      <c r="Q52" s="272"/>
      <c r="R52" s="190"/>
      <c r="S52" s="189"/>
      <c r="T52" s="189"/>
      <c r="U52" s="272"/>
      <c r="V52" s="190"/>
      <c r="W52" s="189"/>
      <c r="X52" s="189"/>
      <c r="Y52" s="272"/>
      <c r="Z52" s="190"/>
      <c r="AA52" s="189"/>
      <c r="AB52" s="272"/>
      <c r="AC52" s="272"/>
      <c r="AD52" s="190"/>
      <c r="AE52" s="189"/>
      <c r="AF52" s="189"/>
      <c r="AG52" s="272"/>
      <c r="AH52" s="190"/>
      <c r="AI52" s="189"/>
      <c r="AJ52" s="189"/>
      <c r="AK52" s="272"/>
      <c r="AL52" s="190"/>
      <c r="AM52" s="189"/>
      <c r="AN52" s="189"/>
      <c r="AO52" s="272"/>
      <c r="AP52" s="190"/>
      <c r="AQ52" s="189"/>
      <c r="AR52" s="189"/>
      <c r="AS52" s="272"/>
      <c r="AT52" s="190"/>
      <c r="AU52" s="189"/>
      <c r="AV52" s="189"/>
      <c r="AY52" s="361"/>
    </row>
    <row r="53" spans="1:51" ht="15.75" thickBot="1">
      <c r="A53" s="280" t="s">
        <v>204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1">
        <f>C49+G49+K49+O49+S49+W49+AA49+AE49+AI49+AM49+AQ49+AU49</f>
        <v>0</v>
      </c>
      <c r="N53" s="283"/>
      <c r="P53" s="279"/>
      <c r="Q53" s="272"/>
      <c r="R53" s="190"/>
      <c r="S53" s="189"/>
      <c r="T53" s="189"/>
      <c r="U53" s="272"/>
      <c r="V53" s="190"/>
      <c r="W53" s="189"/>
      <c r="X53" s="189"/>
      <c r="Y53" s="272"/>
      <c r="Z53" s="190"/>
      <c r="AA53" s="189"/>
      <c r="AB53" s="272"/>
      <c r="AC53" s="272"/>
      <c r="AD53" s="190"/>
      <c r="AE53" s="189"/>
      <c r="AF53" s="189"/>
      <c r="AG53" s="272"/>
      <c r="AH53" s="190"/>
      <c r="AI53" s="189"/>
      <c r="AJ53" s="189"/>
      <c r="AK53" s="272"/>
      <c r="AL53" s="190"/>
      <c r="AM53" s="189"/>
      <c r="AN53" s="189"/>
      <c r="AO53" s="272"/>
      <c r="AP53" s="190"/>
      <c r="AQ53" s="189"/>
      <c r="AR53" s="189"/>
      <c r="AS53" s="272"/>
      <c r="AT53" s="190"/>
      <c r="AU53" s="189"/>
      <c r="AV53" s="189"/>
    </row>
    <row r="54" spans="1:51" ht="15.75" thickBot="1">
      <c r="A54" s="315" t="s">
        <v>205</v>
      </c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6">
        <f>SUM(C50,G50,K50,O50,S50,W50,AA50,AE50,AI50,AM50,AQ50,AU50)</f>
        <v>0</v>
      </c>
      <c r="P54" s="279"/>
      <c r="Q54" s="272"/>
      <c r="R54" s="190"/>
      <c r="S54" s="189"/>
      <c r="T54" s="189"/>
      <c r="U54" s="272"/>
      <c r="V54" s="190"/>
      <c r="W54" s="189"/>
      <c r="X54" s="189"/>
      <c r="Y54" s="272"/>
      <c r="Z54" s="190"/>
      <c r="AA54" s="189"/>
      <c r="AB54" s="272"/>
      <c r="AC54" s="272"/>
      <c r="AD54" s="190"/>
      <c r="AE54" s="189"/>
      <c r="AF54" s="189"/>
      <c r="AG54" s="272"/>
      <c r="AH54" s="190"/>
      <c r="AI54" s="189"/>
      <c r="AJ54" s="189"/>
      <c r="AK54" s="272"/>
      <c r="AL54" s="190"/>
      <c r="AM54" s="189"/>
      <c r="AN54" s="189"/>
      <c r="AO54" s="272"/>
      <c r="AP54" s="190"/>
      <c r="AQ54" s="189"/>
      <c r="AR54" s="189"/>
      <c r="AS54" s="272"/>
      <c r="AT54" s="190"/>
      <c r="AU54" s="189"/>
      <c r="AV54" s="189"/>
    </row>
    <row r="55" spans="1:51">
      <c r="A55" s="545" t="s">
        <v>206</v>
      </c>
      <c r="B55" s="545"/>
      <c r="C55" s="545"/>
      <c r="D55" s="407"/>
      <c r="E55" s="189"/>
      <c r="F55" s="189"/>
      <c r="G55" s="282" t="s">
        <v>237</v>
      </c>
      <c r="H55" s="282"/>
      <c r="I55" s="282"/>
      <c r="J55" s="282"/>
      <c r="K55" s="282"/>
      <c r="L55" s="282"/>
      <c r="M55" s="282"/>
      <c r="N55" s="282"/>
      <c r="O55" s="282"/>
      <c r="P55" s="283"/>
      <c r="Q55" s="272"/>
      <c r="R55" s="190"/>
      <c r="S55" s="189"/>
      <c r="T55" s="189"/>
      <c r="U55" s="272"/>
      <c r="V55" s="190"/>
      <c r="W55" s="189"/>
      <c r="X55" s="189"/>
      <c r="Y55" s="272"/>
      <c r="Z55" s="190"/>
      <c r="AA55" s="189"/>
      <c r="AB55" s="272"/>
      <c r="AC55" s="272"/>
      <c r="AD55" s="190"/>
      <c r="AE55" s="189"/>
      <c r="AF55" s="189"/>
      <c r="AG55" s="272"/>
      <c r="AH55" s="190"/>
      <c r="AI55" s="189"/>
      <c r="AJ55" s="189"/>
      <c r="AK55" s="272"/>
      <c r="AL55" s="190"/>
      <c r="AM55" s="189"/>
      <c r="AN55" s="189"/>
      <c r="AO55" s="272"/>
      <c r="AP55" s="190"/>
      <c r="AQ55" s="189"/>
      <c r="AR55" s="189"/>
      <c r="AS55" s="272"/>
      <c r="AT55" s="190"/>
      <c r="AU55" s="189"/>
      <c r="AV55" s="189"/>
    </row>
    <row r="56" spans="1:51" ht="7.5" customHeight="1" thickBot="1"/>
    <row r="57" spans="1:51" s="189" customFormat="1" ht="22.5" customHeight="1" thickBot="1">
      <c r="A57" s="335"/>
      <c r="B57" s="332" t="s">
        <v>208</v>
      </c>
      <c r="C57" s="332"/>
      <c r="D57" s="332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493">
        <f>'Prépa planning SURV. INTERNAT'!F48</f>
        <v>1477</v>
      </c>
      <c r="R57" s="494"/>
      <c r="S57" s="495"/>
      <c r="T57" s="332"/>
      <c r="U57" s="500" t="s">
        <v>209</v>
      </c>
      <c r="V57" s="503" t="s">
        <v>210</v>
      </c>
      <c r="W57" s="504"/>
      <c r="X57" s="505"/>
      <c r="Y57" s="509" t="s">
        <v>211</v>
      </c>
      <c r="Z57" s="510"/>
      <c r="AA57" s="332"/>
      <c r="AB57" s="335"/>
      <c r="AC57" s="336"/>
      <c r="AD57" s="336"/>
      <c r="AE57" s="336"/>
      <c r="AF57" s="336"/>
      <c r="AG57" s="336"/>
      <c r="AH57" s="337" t="s">
        <v>212</v>
      </c>
      <c r="AI57" s="336"/>
      <c r="AJ57" s="591" t="str">
        <f>'Prépa planning SURV. INTERNAT'!D32</f>
        <v>TOURS*</v>
      </c>
      <c r="AK57" s="591"/>
      <c r="AL57" s="591"/>
      <c r="AM57" s="591"/>
      <c r="AN57" s="591"/>
      <c r="AO57" s="591"/>
      <c r="AP57" s="591"/>
      <c r="AQ57" s="591"/>
      <c r="AR57" s="337" t="s">
        <v>213</v>
      </c>
      <c r="AS57" s="531">
        <f ca="1">TODAY()</f>
        <v>45909</v>
      </c>
      <c r="AT57" s="531"/>
      <c r="AU57" s="531"/>
      <c r="AV57" s="338"/>
    </row>
    <row r="58" spans="1:51" s="189" customFormat="1" ht="17.25" customHeight="1" thickBot="1">
      <c r="A58" s="251"/>
      <c r="B58" s="284"/>
      <c r="C58" s="284"/>
      <c r="D58" s="284"/>
      <c r="E58" s="339"/>
      <c r="F58" s="339"/>
      <c r="G58" s="339"/>
      <c r="H58" s="339"/>
      <c r="I58" s="339"/>
      <c r="J58" s="339"/>
      <c r="K58" s="340"/>
      <c r="L58" s="340"/>
      <c r="M58" s="340"/>
      <c r="N58" s="340"/>
      <c r="O58" s="341" t="s">
        <v>214</v>
      </c>
      <c r="P58" s="340"/>
      <c r="Q58" s="515">
        <f>'Prépa planning SURV. INTERNAT'!F43</f>
        <v>7</v>
      </c>
      <c r="R58" s="516"/>
      <c r="S58" s="517"/>
      <c r="T58" s="284"/>
      <c r="U58" s="501"/>
      <c r="V58" s="506"/>
      <c r="W58" s="507"/>
      <c r="X58" s="508"/>
      <c r="Y58" s="511"/>
      <c r="Z58" s="512"/>
      <c r="AA58" s="285"/>
      <c r="AB58" s="343"/>
      <c r="AC58" s="290" t="s">
        <v>215</v>
      </c>
      <c r="AD58" s="286"/>
      <c r="AE58" s="286"/>
      <c r="AF58" s="286"/>
      <c r="AG58" s="286"/>
      <c r="AH58" s="286"/>
      <c r="AI58" s="286"/>
      <c r="AJ58" s="286"/>
      <c r="AK58" s="286"/>
      <c r="AL58" s="285"/>
      <c r="AM58" s="285"/>
      <c r="AN58" s="285"/>
      <c r="AO58" s="285"/>
      <c r="AP58" s="287"/>
      <c r="AQ58" s="287"/>
      <c r="AR58" s="287"/>
      <c r="AS58" s="287"/>
      <c r="AT58" s="287"/>
      <c r="AU58" s="288"/>
      <c r="AV58" s="289"/>
    </row>
    <row r="59" spans="1:51" s="189" customFormat="1" ht="17.25" thickBot="1">
      <c r="A59" s="251"/>
      <c r="B59" s="284" t="s">
        <v>216</v>
      </c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493">
        <f>+C47+G47+K47+O47+S47+W47+AA47+AE47+AI47+AM47+AQ47+AU47</f>
        <v>0</v>
      </c>
      <c r="R59" s="494"/>
      <c r="S59" s="495"/>
      <c r="T59" s="284"/>
      <c r="U59" s="501"/>
      <c r="V59" s="347" t="s">
        <v>217</v>
      </c>
      <c r="W59" s="323"/>
      <c r="X59" s="324">
        <f>COUNTIF(C22,"&gt;0")+COUNTIF(C29,"&gt;0")+COUNTIF(C36,"&gt;0")+COUNTIF(AI46,"&gt;0")+COUNTIF(G20,"&gt;0")+COUNTIF(G27,"&gt;0")+COUNTIF(K17,"&gt;0")+COUNTIF(K24,"&gt;0")+COUNTIF(K31,"&gt;0")+COUNTIF(K38,"&gt;0")+COUNTIF(C43,"&gt;0")+COUNTIF(O22,"&gt;0")+COUNTIF(O29,"&gt;0")+COUNTIF(S19,"&gt;0")+COUNTIF(S26,"&gt;0")+COUNTIF(S33,"&gt;0")+COUNTIF(S40,"&gt;0")+COUNTIF(W16,"&gt;0")+COUNTIF(W23,"&gt;0")+COUNTIF(W30,"&gt;0")+COUNTIF(AA23,"&gt;0")+COUNTIF(AA30,"&gt;0")+COUNTIF(AA37,"&gt;0")+COUNTIF(AA44,"&gt;0")+COUNTIF(AE20,"&gt;0")+COUNTIF(AI32,"&gt;0")+COUNTIF(AI39,"&gt;0")+COUNTIF(AE27,"&gt;0")+COUNTIF(AM22,"&gt;0")+COUNTIF(AM29,"&gt;0")+COUNTIF(AM36,"&gt;0")+COUNTIF(AM43,"&gt;0")+COUNTIF(AI18,"&gt;0")+COUNTIF(AI25,"&gt;0")+COUNTIF(K45,"&gt;0")</f>
        <v>0</v>
      </c>
      <c r="Y59" s="513">
        <f t="shared" ref="Y59:Y64" si="28">IF(X59&gt;0,X59*AR7*10%,0)</f>
        <v>0</v>
      </c>
      <c r="Z59" s="514"/>
      <c r="AA59" s="284"/>
      <c r="AB59" s="344"/>
      <c r="AC59" s="292" t="s">
        <v>218</v>
      </c>
      <c r="AD59" s="291"/>
      <c r="AE59" s="291"/>
      <c r="AF59" s="291"/>
      <c r="AG59" s="285"/>
      <c r="AH59" s="285"/>
      <c r="AI59" s="285"/>
      <c r="AJ59" s="285"/>
      <c r="AK59" s="334" t="s">
        <v>219</v>
      </c>
      <c r="AL59" s="284"/>
      <c r="AM59" s="331"/>
      <c r="AN59" s="528" t="str">
        <f>'Prépa planning SURV. INTERNAT'!D34</f>
        <v>MONSIEUR*</v>
      </c>
      <c r="AO59" s="528"/>
      <c r="AP59" s="528"/>
      <c r="AQ59" s="528"/>
      <c r="AR59" s="528"/>
      <c r="AS59" s="528"/>
      <c r="AT59" s="528"/>
      <c r="AU59" s="528"/>
      <c r="AV59" s="293"/>
    </row>
    <row r="60" spans="1:51" s="189" customFormat="1" ht="17.25" thickBot="1">
      <c r="A60" s="251"/>
      <c r="B60" s="284" t="s">
        <v>220</v>
      </c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493">
        <f>Y65</f>
        <v>0</v>
      </c>
      <c r="R60" s="494"/>
      <c r="S60" s="495"/>
      <c r="T60" s="284"/>
      <c r="U60" s="501"/>
      <c r="V60" s="348" t="s">
        <v>221</v>
      </c>
      <c r="W60" s="325"/>
      <c r="X60" s="326">
        <f>COUNTIF(C16,"&gt;0")+COUNTIF(C23,"&gt;0")+COUNTIF(C30,"&gt;0")+COUNTIF(C37,"&gt;0")+COUNTIF(C44,"&gt;0")+COUNTIF(G21,"&gt;0")+COUNTIF(G28,"&gt;0")+COUNTIF(K18,"&gt;0")+COUNTIF(K25,"&gt;0")+COUNTIF(K32,"&gt;0")+COUNTIF(K39,"&gt;0")+COUNTIF(O16,"&gt;0")+COUNTIF(O23,"&gt;0")+COUNTIF(O30,"&gt;0")+COUNTIF(S20,"&gt;0")+COUNTIF(S27,"&gt;0")+COUNTIF(S34,"&gt;0")+COUNTIF(S41,"&gt;0")+COUNTIF(W17,"&gt;0")+COUNTIF(W24,"&gt;0")+COUNTIF(W31,"&gt;0")+COUNTIF(AA24,"&gt;0")+COUNTIF(AA31,"&gt;0")+COUNTIF(AA38,"&gt;0")+COUNTIF(AE21,"&gt;0")+COUNTIF(AI33,"&gt;0")+COUNTIF(AI26,"&gt;0")+COUNTIF(AM16,"&gt;0")+COUNTIF(AM23,"&gt;0")+COUNTIF(AM30,"&gt;0")+COUNTIF(AM37,"&gt;0")+COUNTIF(AI19,"&gt;0")+COUNTIF(AA45,"&gt;0")+COUNTIF(AM44,"&gt;0")+COUNTIF(AE28,"&gt;0")+COUNTIF(AI40,"&gt;0")</f>
        <v>0</v>
      </c>
      <c r="Y60" s="498">
        <f t="shared" si="28"/>
        <v>0</v>
      </c>
      <c r="Z60" s="499"/>
      <c r="AA60" s="290"/>
      <c r="AB60" s="344"/>
      <c r="AC60" s="284"/>
      <c r="AD60" s="291"/>
      <c r="AE60" s="291"/>
      <c r="AF60" s="291"/>
      <c r="AG60" s="285"/>
      <c r="AH60" s="285"/>
      <c r="AI60" s="285"/>
      <c r="AJ60" s="285"/>
      <c r="AK60" s="333"/>
      <c r="AL60" s="496" t="s">
        <v>222</v>
      </c>
      <c r="AM60" s="496"/>
      <c r="AN60" s="496"/>
      <c r="AO60" s="496"/>
      <c r="AP60" s="496"/>
      <c r="AQ60" s="496"/>
      <c r="AR60" s="496"/>
      <c r="AS60" s="496"/>
      <c r="AT60" s="496"/>
      <c r="AU60" s="496"/>
      <c r="AV60" s="497"/>
    </row>
    <row r="61" spans="1:51" s="189" customFormat="1" ht="17.25" thickBot="1">
      <c r="A61" s="251"/>
      <c r="B61" s="284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5" t="s">
        <v>223</v>
      </c>
      <c r="P61" s="285"/>
      <c r="Q61" s="294">
        <f>Q57-Q59-Q60</f>
        <v>1477</v>
      </c>
      <c r="R61" s="295"/>
      <c r="S61" s="296"/>
      <c r="T61" s="284"/>
      <c r="U61" s="501"/>
      <c r="V61" s="348" t="s">
        <v>224</v>
      </c>
      <c r="W61" s="327"/>
      <c r="X61" s="326">
        <f>COUNTIF(C17,"&gt;0")+COUNTIF(C24,"&gt;0")+COUNTIF(C31,"&gt;0")+COUNTIF(C38,"&gt;0")+COUNTIF(C45,"&gt;0")+COUNTIF(G22,"&gt;0")+COUNTIF(G29,"&gt;0")+COUNTIF(K19,"&gt;0")+COUNTIF(AA46,"&gt;0")+COUNTIF(K33,"&gt;0")+COUNTIF(K40,"&gt;0")+COUNTIF(O17,"&gt;0")+COUNTIF(O24,"&gt;0")+COUNTIF(O31,"&gt;0")+COUNTIF(S21,"&gt;0")+COUNTIF(S28,"&gt;0")+COUNTIF(S35,"&gt;0")+COUNTIF(S42,"&gt;0")+COUNTIF(W18,"&gt;0")+COUNTIF(W25,"&gt;0")+COUNTIF(W32,"&gt;0")+COUNTIF(AA25,"&gt;0")+COUNTIF(AA32,"&gt;0")+COUNTIF(AA39,"&gt;0")+COUNTIF(AE29,"&gt;0")+COUNTIF(AE22,"&gt;0")+COUNTIF(AI34,"&gt;0")+COUNTIF(AI41,"&gt;0")+COUNTIF(AM17,"&gt;0")+COUNTIF(AM24,"&gt;0")+COUNTIF(AM31,"&gt;0")+COUNTIF(AM38,"&gt;0")+COUNTIF(AI20,"&gt;0")+COUNTIF(AI27,"&gt;0")+COUNTIF(AM45,"&gt;0")+COUNTIF(K26,"&gt;0")</f>
        <v>0</v>
      </c>
      <c r="Y61" s="498">
        <f t="shared" si="28"/>
        <v>0</v>
      </c>
      <c r="Z61" s="499"/>
      <c r="AA61" s="284"/>
      <c r="AB61" s="344"/>
      <c r="AC61" s="592" t="str">
        <f>'Prépa planning SURV. INTERNAT'!D33</f>
        <v>MADAME*</v>
      </c>
      <c r="AD61" s="592"/>
      <c r="AE61" s="592"/>
      <c r="AF61" s="592"/>
      <c r="AG61" s="592"/>
      <c r="AH61" s="592"/>
      <c r="AI61" s="592"/>
      <c r="AJ61" s="285"/>
      <c r="AK61" s="333"/>
      <c r="AL61" s="496" t="s">
        <v>225</v>
      </c>
      <c r="AM61" s="496"/>
      <c r="AN61" s="496"/>
      <c r="AO61" s="496"/>
      <c r="AP61" s="496"/>
      <c r="AQ61" s="496"/>
      <c r="AR61" s="496"/>
      <c r="AS61" s="496"/>
      <c r="AT61" s="496"/>
      <c r="AU61" s="496"/>
      <c r="AV61" s="497"/>
    </row>
    <row r="62" spans="1:51" s="189" customFormat="1" ht="15" customHeight="1">
      <c r="A62" s="251"/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5"/>
      <c r="P62" s="285"/>
      <c r="Q62" s="284"/>
      <c r="R62" s="284"/>
      <c r="S62" s="297"/>
      <c r="T62" s="321"/>
      <c r="U62" s="501"/>
      <c r="V62" s="348" t="s">
        <v>226</v>
      </c>
      <c r="W62" s="328"/>
      <c r="X62" s="326">
        <f>COUNTIF(C18,"&gt;0")+COUNTIF(C25,"&gt;0")+COUNTIF(C32,"&gt;0")+COUNTIF(C39,"&gt;0")+COUNTIF(G16,"&gt;0")+COUNTIF(G23,"&gt;0")+COUNTIF(G30,"&gt;0")+COUNTIF(K20,"&gt;0")+COUNTIF(K27,"&gt;0")+COUNTIF(K34,"&gt;0")+COUNTIF(K41,"&gt;0")+COUNTIF(O18,"&gt;0")+COUNTIF(O25,"&gt;0")+COUNTIF(O32,"&gt;0")+COUNTIF(S22,"&gt;0")+COUNTIF(S29,"&gt;0")+COUNTIF(S36,"&gt;0")+COUNTIF(S43,"&gt;0")+COUNTIF(W19,"&gt;0")+COUNTIF(W26,"&gt;0")+COUNTIF(W33,"&gt;0")+COUNTIF(AA26,"&gt;0")+COUNTIF(AA33,"&gt;0")+COUNTIF(AA40,"&gt;0")+COUNTIF(AE16,"&gt;0")+COUNTIF(AE23,"&gt;0")+COUNTIF(AI35,"&gt;0")+COUNTIF(AI42,"&gt;0")+COUNTIF(AM18,"&gt;0")+COUNTIF(AM25,"&gt;0")+COUNTIF(AM32,"&gt;0")+COUNTIF(AM39,"&gt;0")+COUNTIF(AQ16,"&gt;0")+COUNTIF(AE30,"&gt;0")+COUNTIF(AI21,"&gt;0")+COUNTIF(AI28,"&gt;0")</f>
        <v>0</v>
      </c>
      <c r="Y62" s="498">
        <f t="shared" si="28"/>
        <v>0</v>
      </c>
      <c r="Z62" s="499"/>
      <c r="AA62" s="292"/>
      <c r="AB62" s="344"/>
      <c r="AC62" s="408"/>
      <c r="AD62" s="408"/>
      <c r="AE62" s="408"/>
      <c r="AF62" s="408"/>
      <c r="AG62" s="408"/>
      <c r="AH62" s="408"/>
      <c r="AI62" s="408"/>
      <c r="AJ62" s="285"/>
      <c r="AK62" s="333"/>
      <c r="AL62" s="496" t="s">
        <v>227</v>
      </c>
      <c r="AM62" s="496"/>
      <c r="AN62" s="496"/>
      <c r="AO62" s="496"/>
      <c r="AP62" s="496"/>
      <c r="AQ62" s="496"/>
      <c r="AR62" s="496"/>
      <c r="AS62" s="496"/>
      <c r="AT62" s="496"/>
      <c r="AU62" s="496"/>
      <c r="AV62" s="497"/>
    </row>
    <row r="63" spans="1:51" s="189" customFormat="1" ht="16.5" customHeight="1">
      <c r="A63" s="251"/>
      <c r="B63" s="284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320"/>
      <c r="O63" s="285"/>
      <c r="U63" s="501"/>
      <c r="V63" s="348" t="s">
        <v>228</v>
      </c>
      <c r="W63" s="328"/>
      <c r="X63" s="326">
        <f>COUNTIF(C19,"&gt;0")+COUNTIF(C26,"&gt;0")+COUNTIF(C33,"&gt;0")+COUNTIF(C40,"&gt;0")+COUNTIF(G17,"&gt;0")+COUNTIF(G24,"&gt;0")+COUNTIF(G31,"&gt;0")+COUNTIF(K21,"&gt;0")+COUNTIF(K28,"&gt;0")+COUNTIF(K35,"&gt;0")+COUNTIF(K42,"&gt;0")+COUNTIF(O19,"&gt;0")+COUNTIF(O26,"&gt;0")+COUNTIF(O33,"&gt;0")+COUNTIF(S23,"&gt;0")+COUNTIF(S30,"&gt;0")+COUNTIF(S37,"&gt;0")+COUNTIF(S44,"&gt;0")+COUNTIF(W20,"&gt;0")+COUNTIF(W27,"&gt;0")+COUNTIF(W34,"&gt;0")+COUNTIF(AA27,"&gt;0")+COUNTIF(AA34,"&gt;0")+COUNTIF(AA41,"&gt;0")+COUNTIF(AE17,"&gt;0")+COUNTIF(AE24,"&gt;0")+COUNTIF(AI36,"&gt;0")+COUNTIF(AI43,"&gt;0")+COUNTIF(AM19,"&gt;0")+COUNTIF(AM26,"&gt;0")+COUNTIF(AM33,"&gt;0")+COUNTIF(AM40,"&gt;0")+COUNTIF(AQ17,"&gt;0")+COUNTIF(AE31,"&gt;0")+COUNTIF(AI22,"&gt;0")+COUNTIF(AI29,"&gt;0")</f>
        <v>0</v>
      </c>
      <c r="Y63" s="498">
        <f t="shared" si="28"/>
        <v>0</v>
      </c>
      <c r="Z63" s="499"/>
      <c r="AA63" s="292"/>
      <c r="AB63" s="344"/>
      <c r="AC63" s="284"/>
      <c r="AD63" s="284"/>
      <c r="AE63" s="284"/>
      <c r="AF63" s="284"/>
      <c r="AG63" s="284"/>
      <c r="AH63" s="284"/>
      <c r="AI63" s="284"/>
      <c r="AJ63" s="285"/>
      <c r="AK63" s="333"/>
      <c r="AL63" s="409"/>
      <c r="AM63" s="409"/>
      <c r="AN63" s="409"/>
      <c r="AO63" s="409"/>
      <c r="AP63" s="409"/>
      <c r="AQ63" s="409"/>
      <c r="AR63" s="409"/>
      <c r="AS63" s="409"/>
      <c r="AT63" s="409"/>
      <c r="AU63" s="409"/>
      <c r="AV63" s="410"/>
    </row>
    <row r="64" spans="1:51" s="189" customFormat="1" ht="17.25" customHeight="1" thickBot="1">
      <c r="A64" s="251"/>
      <c r="B64" s="284" t="s">
        <v>160</v>
      </c>
      <c r="C64" s="284"/>
      <c r="D64" s="284"/>
      <c r="E64" s="285" t="str">
        <f>'Prépa planning SURV. INTERNAT'!F39</f>
        <v>2 - EPNL 51 jours de CP</v>
      </c>
      <c r="F64" s="285"/>
      <c r="G64" s="285"/>
      <c r="H64" s="285"/>
      <c r="I64" s="285"/>
      <c r="J64" s="284"/>
      <c r="K64" s="285"/>
      <c r="L64" s="284"/>
      <c r="M64" s="284"/>
      <c r="N64" s="320"/>
      <c r="O64" s="317"/>
      <c r="U64" s="501"/>
      <c r="V64" s="349" t="s">
        <v>229</v>
      </c>
      <c r="W64" s="329"/>
      <c r="X64" s="330">
        <f>COUNTIF(C20,"&gt;0")+COUNTIF(C27,"&gt;0")+COUNTIF(C34,"&gt;0")+COUNTIF(C41,"&gt;0")+COUNTIF(G18,"&gt;0")+COUNTIF(G25,"&gt;0")+COUNTIF(G32,"&gt;0")+COUNTIF(K22,"&gt;0")+COUNTIF(K29,"&gt;0")+COUNTIF(K36,"&gt;0")+COUNTIF(K43,"&gt;0")+COUNTIF(O20,"&gt;0")+COUNTIF(O27,"&gt;0")+COUNTIF(O34,"&gt;0")+COUNTIF(S24,"&gt;0")+COUNTIF(S31,"&gt;0")+COUNTIF(S38,"&gt;0")+COUNTIF(S45,"&gt;0")+COUNTIF(W21,"&gt;0")+COUNTIF(W28,"&gt;0")+COUNTIF(W35,"&gt;0")+COUNTIF(AA28,"&gt;0")+COUNTIF(AA35,"&gt;0")+COUNTIF(AA42,"&gt;0")+COUNTIF(AE18,"&gt;0")+COUNTIF(AE25,"&gt;0")+COUNTIF(AE32,"&gt;0")+COUNTIF(AI37,"&gt;0")+COUNTIF(AI44,"&gt;0")+COUNTIF(AM20,"&gt;0")+COUNTIF(AM27,"&gt;0")+COUNTIF(AM34,"&gt;0")+COUNTIF(AM41,"&gt;0")+COUNTIF(AQ18,"&gt;0")+COUNTIF(AI23,"&gt;0")</f>
        <v>0</v>
      </c>
      <c r="Y64" s="498">
        <f t="shared" si="28"/>
        <v>0</v>
      </c>
      <c r="Z64" s="499"/>
      <c r="AA64" s="284"/>
      <c r="AB64" s="251"/>
      <c r="AC64" s="284"/>
      <c r="AD64" s="284"/>
      <c r="AE64" s="284"/>
      <c r="AF64" s="284"/>
      <c r="AG64" s="284"/>
      <c r="AH64" s="285"/>
      <c r="AI64" s="285"/>
      <c r="AJ64" s="285"/>
      <c r="AK64" s="251"/>
      <c r="AL64" s="284"/>
      <c r="AM64" s="284"/>
      <c r="AN64" s="284"/>
      <c r="AO64" s="284"/>
      <c r="AP64" s="284"/>
      <c r="AQ64" s="284"/>
      <c r="AR64" s="284"/>
      <c r="AS64" s="284"/>
      <c r="AT64" s="284"/>
      <c r="AU64" s="284"/>
      <c r="AV64" s="410"/>
    </row>
    <row r="65" spans="1:48" s="189" customFormat="1" ht="17.25" thickBot="1">
      <c r="A65" s="251"/>
      <c r="B65" s="284" t="s">
        <v>230</v>
      </c>
      <c r="C65" s="284"/>
      <c r="D65" s="284"/>
      <c r="E65" s="284"/>
      <c r="F65" s="284"/>
      <c r="G65" s="284"/>
      <c r="H65" s="284"/>
      <c r="I65" s="286">
        <f>'Prépa planning SURV. INTERNAT'!F47</f>
        <v>51</v>
      </c>
      <c r="J65" s="284"/>
      <c r="K65" s="284"/>
      <c r="L65" s="284"/>
      <c r="M65" s="284"/>
      <c r="N65" s="320"/>
      <c r="O65" s="318"/>
      <c r="U65" s="502"/>
      <c r="V65" s="322"/>
      <c r="W65" s="346" t="s">
        <v>147</v>
      </c>
      <c r="X65" s="346"/>
      <c r="Y65" s="518">
        <f>SUM(Y59:Z64)</f>
        <v>0</v>
      </c>
      <c r="Z65" s="519"/>
      <c r="AA65" s="285"/>
      <c r="AB65" s="334"/>
      <c r="AC65" s="292"/>
      <c r="AD65" s="292"/>
      <c r="AE65" s="292"/>
      <c r="AF65" s="292"/>
      <c r="AG65" s="285"/>
      <c r="AH65" s="285"/>
      <c r="AI65" s="285"/>
      <c r="AJ65" s="285"/>
      <c r="AK65" s="251"/>
      <c r="AL65" s="284"/>
      <c r="AM65" s="284"/>
      <c r="AN65" s="284"/>
      <c r="AO65" s="284"/>
      <c r="AP65" s="284"/>
      <c r="AQ65" s="284"/>
      <c r="AR65" s="284"/>
      <c r="AS65" s="284"/>
      <c r="AT65" s="284"/>
      <c r="AU65" s="284"/>
      <c r="AV65" s="410"/>
    </row>
    <row r="66" spans="1:48" s="189" customFormat="1" ht="17.25" thickBot="1">
      <c r="A66" s="251"/>
      <c r="B66" s="284" t="s">
        <v>231</v>
      </c>
      <c r="C66" s="284"/>
      <c r="D66" s="284"/>
      <c r="E66" s="284"/>
      <c r="F66" s="284"/>
      <c r="G66" s="284"/>
      <c r="H66" s="284"/>
      <c r="I66" s="342">
        <f>'Prépa planning SURV. INTERNAT'!F51</f>
        <v>1</v>
      </c>
      <c r="J66" s="284"/>
      <c r="K66" s="284"/>
      <c r="L66" s="284"/>
      <c r="M66" s="284"/>
      <c r="N66" s="320"/>
      <c r="O66" s="319"/>
      <c r="U66" s="587" t="s">
        <v>232</v>
      </c>
      <c r="V66" s="588"/>
      <c r="W66" s="588"/>
      <c r="X66" s="589"/>
      <c r="Y66" s="590">
        <f>ROUNDUP(Y65/(7*I66),0)</f>
        <v>0</v>
      </c>
      <c r="Z66" s="519"/>
      <c r="AA66" s="285"/>
      <c r="AB66" s="334"/>
      <c r="AC66" s="292"/>
      <c r="AD66" s="292"/>
      <c r="AE66" s="292"/>
      <c r="AF66" s="292"/>
      <c r="AG66" s="285"/>
      <c r="AH66" s="285"/>
      <c r="AI66" s="285"/>
      <c r="AJ66" s="285"/>
      <c r="AK66" s="333"/>
      <c r="AL66" s="409"/>
      <c r="AM66" s="409"/>
      <c r="AN66" s="409"/>
      <c r="AO66" s="409"/>
      <c r="AP66" s="409"/>
      <c r="AQ66" s="409"/>
      <c r="AR66" s="409"/>
      <c r="AS66" s="409"/>
      <c r="AT66" s="409"/>
      <c r="AU66" s="409"/>
      <c r="AV66" s="410"/>
    </row>
    <row r="67" spans="1:48" s="189" customFormat="1" ht="17.25" thickBot="1">
      <c r="A67" s="251"/>
      <c r="B67" s="298" t="s">
        <v>233</v>
      </c>
      <c r="C67" s="299"/>
      <c r="D67" s="299"/>
      <c r="E67" s="299"/>
      <c r="F67" s="299"/>
      <c r="G67" s="299"/>
      <c r="H67" s="299"/>
      <c r="I67" s="300">
        <f>'Prépa planning SURV. INTERNAT'!F50</f>
        <v>151.66666666666666</v>
      </c>
      <c r="J67" s="301" t="s">
        <v>234</v>
      </c>
      <c r="K67" s="302"/>
      <c r="L67" s="285"/>
      <c r="M67" s="284"/>
      <c r="N67" s="320"/>
      <c r="O67" s="284"/>
      <c r="V67" s="284"/>
      <c r="W67" s="284"/>
      <c r="X67" s="284"/>
      <c r="Y67" s="284"/>
      <c r="Z67" s="284"/>
      <c r="AA67" s="402"/>
      <c r="AB67" s="345"/>
      <c r="AC67" s="285"/>
      <c r="AD67" s="285"/>
      <c r="AE67" s="285"/>
      <c r="AF67" s="285"/>
      <c r="AG67" s="285"/>
      <c r="AH67" s="285"/>
      <c r="AI67" s="285"/>
      <c r="AJ67" s="285"/>
      <c r="AK67" s="251"/>
      <c r="AL67" s="284"/>
      <c r="AM67" s="284"/>
      <c r="AN67" s="284"/>
      <c r="AO67" s="284"/>
      <c r="AP67" s="284"/>
      <c r="AQ67" s="284"/>
      <c r="AR67" s="284"/>
      <c r="AS67" s="284"/>
      <c r="AT67" s="284"/>
      <c r="AU67" s="284"/>
      <c r="AV67" s="410"/>
    </row>
    <row r="68" spans="1:48" s="189" customFormat="1" ht="9.75" customHeight="1" thickBot="1">
      <c r="A68" s="248"/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4"/>
      <c r="T68" s="304"/>
      <c r="U68" s="305"/>
      <c r="V68" s="303"/>
      <c r="W68" s="303"/>
      <c r="X68" s="303"/>
      <c r="Y68" s="303"/>
      <c r="Z68" s="303"/>
      <c r="AA68" s="303"/>
      <c r="AB68" s="248"/>
      <c r="AC68" s="303"/>
      <c r="AD68" s="303"/>
      <c r="AE68" s="303"/>
      <c r="AF68" s="303"/>
      <c r="AG68" s="303"/>
      <c r="AH68" s="303"/>
      <c r="AI68" s="303"/>
      <c r="AJ68" s="303"/>
      <c r="AK68" s="248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6"/>
    </row>
  </sheetData>
  <sheetProtection sheet="1" formatCells="0" formatColumns="0" formatRows="0" pivotTables="0"/>
  <protectedRanges>
    <protectedRange sqref="Q52:AV55 AB57:AV68" name="Plage7"/>
    <protectedRange sqref="AM16:AM45 AQ16:AQ46 AU16:AU46" name="Plage6"/>
    <protectedRange sqref="AA16:AA46 AI16:AI46 AE16:AE45" name="Plage5"/>
    <protectedRange sqref="S16:S46 O16:O46 W16:W43" name="Plage4"/>
    <protectedRange sqref="C16:C45 K16:K45 G16:G46" name="Plage3"/>
    <protectedRange sqref="Z7:AB12 AD7:AF12 AY9 D7:E12 G7:H12 J7:L12 N7:P12 R7:T12 V7:X12" name="Plage2"/>
    <protectedRange sqref="F1:F2 W1:W2" name="Plage1"/>
  </protectedRanges>
  <mergeCells count="187">
    <mergeCell ref="F1:U1"/>
    <mergeCell ref="F2:Q2"/>
    <mergeCell ref="W2:AM2"/>
    <mergeCell ref="C4:AF4"/>
    <mergeCell ref="C5:H6"/>
    <mergeCell ref="I5:X5"/>
    <mergeCell ref="Y5:AF6"/>
    <mergeCell ref="I6:P6"/>
    <mergeCell ref="Q6:X6"/>
    <mergeCell ref="AG6:AJ6"/>
    <mergeCell ref="AD7:AF7"/>
    <mergeCell ref="AH7:AJ7"/>
    <mergeCell ref="AK7:AL7"/>
    <mergeCell ref="AM7:AO7"/>
    <mergeCell ref="AP7:AQ7"/>
    <mergeCell ref="AR7:AV7"/>
    <mergeCell ref="AK6:AO6"/>
    <mergeCell ref="AP6:AV6"/>
    <mergeCell ref="A7:B7"/>
    <mergeCell ref="D7:E7"/>
    <mergeCell ref="G7:H7"/>
    <mergeCell ref="J7:L7"/>
    <mergeCell ref="N7:P7"/>
    <mergeCell ref="R7:T7"/>
    <mergeCell ref="V7:X7"/>
    <mergeCell ref="Z7:AB7"/>
    <mergeCell ref="A9:B9"/>
    <mergeCell ref="D9:E9"/>
    <mergeCell ref="G9:H9"/>
    <mergeCell ref="J9:L9"/>
    <mergeCell ref="N9:P9"/>
    <mergeCell ref="R9:T9"/>
    <mergeCell ref="V9:X9"/>
    <mergeCell ref="Z9:AB9"/>
    <mergeCell ref="V8:X8"/>
    <mergeCell ref="Z8:AB8"/>
    <mergeCell ref="A8:B8"/>
    <mergeCell ref="D8:E8"/>
    <mergeCell ref="G8:H8"/>
    <mergeCell ref="J8:L8"/>
    <mergeCell ref="N8:P8"/>
    <mergeCell ref="R8:T8"/>
    <mergeCell ref="R10:T10"/>
    <mergeCell ref="AD9:AF9"/>
    <mergeCell ref="AH9:AJ9"/>
    <mergeCell ref="AK9:AL9"/>
    <mergeCell ref="AM9:AO9"/>
    <mergeCell ref="AP9:AQ9"/>
    <mergeCell ref="AR9:AV9"/>
    <mergeCell ref="AP8:AQ8"/>
    <mergeCell ref="AR8:AV8"/>
    <mergeCell ref="AD8:AF8"/>
    <mergeCell ref="AH8:AJ8"/>
    <mergeCell ref="AK8:AL8"/>
    <mergeCell ref="AM8:AO8"/>
    <mergeCell ref="AM11:AO11"/>
    <mergeCell ref="AP11:AQ11"/>
    <mergeCell ref="AR11:AV11"/>
    <mergeCell ref="AP10:AQ10"/>
    <mergeCell ref="AR10:AV10"/>
    <mergeCell ref="A11:B11"/>
    <mergeCell ref="D11:E11"/>
    <mergeCell ref="G11:H11"/>
    <mergeCell ref="J11:L11"/>
    <mergeCell ref="N11:P11"/>
    <mergeCell ref="R11:T11"/>
    <mergeCell ref="V11:X11"/>
    <mergeCell ref="Z11:AB11"/>
    <mergeCell ref="V10:X10"/>
    <mergeCell ref="Z10:AB10"/>
    <mergeCell ref="AD10:AF10"/>
    <mergeCell ref="AH10:AJ10"/>
    <mergeCell ref="AK10:AL10"/>
    <mergeCell ref="AM10:AO10"/>
    <mergeCell ref="A10:B10"/>
    <mergeCell ref="D10:E10"/>
    <mergeCell ref="G10:H10"/>
    <mergeCell ref="J10:L10"/>
    <mergeCell ref="N10:P10"/>
    <mergeCell ref="A12:B12"/>
    <mergeCell ref="D12:E12"/>
    <mergeCell ref="G12:H12"/>
    <mergeCell ref="J12:L12"/>
    <mergeCell ref="N12:P12"/>
    <mergeCell ref="R12:T12"/>
    <mergeCell ref="AD11:AF11"/>
    <mergeCell ref="AH11:AJ11"/>
    <mergeCell ref="AK11:AL11"/>
    <mergeCell ref="AP12:AQ12"/>
    <mergeCell ref="AR12:AV12"/>
    <mergeCell ref="AH13:AJ13"/>
    <mergeCell ref="AK13:AL13"/>
    <mergeCell ref="AM13:AO13"/>
    <mergeCell ref="AP13:AQ13"/>
    <mergeCell ref="AR13:AV13"/>
    <mergeCell ref="V12:X12"/>
    <mergeCell ref="Z12:AB12"/>
    <mergeCell ref="AD12:AF12"/>
    <mergeCell ref="AH12:AJ12"/>
    <mergeCell ref="AK12:AL12"/>
    <mergeCell ref="AM12:AO12"/>
    <mergeCell ref="Y15:AB15"/>
    <mergeCell ref="AC15:AF15"/>
    <mergeCell ref="AG15:AJ15"/>
    <mergeCell ref="AK15:AN15"/>
    <mergeCell ref="AO15:AR15"/>
    <mergeCell ref="AS15:AV15"/>
    <mergeCell ref="A15:D15"/>
    <mergeCell ref="E15:H15"/>
    <mergeCell ref="I15:L15"/>
    <mergeCell ref="M15:P15"/>
    <mergeCell ref="Q15:T15"/>
    <mergeCell ref="U15:X15"/>
    <mergeCell ref="AZ45:BF45"/>
    <mergeCell ref="C47:D47"/>
    <mergeCell ref="G47:H47"/>
    <mergeCell ref="K47:L47"/>
    <mergeCell ref="O47:P47"/>
    <mergeCell ref="S47:T47"/>
    <mergeCell ref="W47:X47"/>
    <mergeCell ref="AA47:AB47"/>
    <mergeCell ref="AE47:AF47"/>
    <mergeCell ref="AI47:AJ47"/>
    <mergeCell ref="AM47:AN47"/>
    <mergeCell ref="AQ47:AR47"/>
    <mergeCell ref="AU47:AV47"/>
    <mergeCell ref="C48:D48"/>
    <mergeCell ref="G48:H48"/>
    <mergeCell ref="K48:L48"/>
    <mergeCell ref="O48:P48"/>
    <mergeCell ref="S48:T48"/>
    <mergeCell ref="W48:X48"/>
    <mergeCell ref="AA48:AB48"/>
    <mergeCell ref="AE48:AF48"/>
    <mergeCell ref="AI48:AJ48"/>
    <mergeCell ref="AM48:AN48"/>
    <mergeCell ref="AQ48:AR48"/>
    <mergeCell ref="AU48:AV48"/>
    <mergeCell ref="C49:D49"/>
    <mergeCell ref="G49:H49"/>
    <mergeCell ref="K49:L49"/>
    <mergeCell ref="O49:P49"/>
    <mergeCell ref="S49:T49"/>
    <mergeCell ref="AU49:AV49"/>
    <mergeCell ref="A50:B50"/>
    <mergeCell ref="C50:D50"/>
    <mergeCell ref="G50:H50"/>
    <mergeCell ref="K50:L50"/>
    <mergeCell ref="O50:P50"/>
    <mergeCell ref="S50:T50"/>
    <mergeCell ref="W50:X50"/>
    <mergeCell ref="AA50:AB50"/>
    <mergeCell ref="AE50:AF50"/>
    <mergeCell ref="W49:X49"/>
    <mergeCell ref="AA49:AB49"/>
    <mergeCell ref="AE49:AF49"/>
    <mergeCell ref="AI49:AJ49"/>
    <mergeCell ref="AM49:AN49"/>
    <mergeCell ref="AQ49:AR49"/>
    <mergeCell ref="AI50:AJ50"/>
    <mergeCell ref="AM50:AN50"/>
    <mergeCell ref="AQ50:AR50"/>
    <mergeCell ref="AU50:AV50"/>
    <mergeCell ref="AL61:AV61"/>
    <mergeCell ref="Y62:Z62"/>
    <mergeCell ref="AL62:AV62"/>
    <mergeCell ref="AS57:AU57"/>
    <mergeCell ref="A55:C55"/>
    <mergeCell ref="Q57:S57"/>
    <mergeCell ref="U57:U65"/>
    <mergeCell ref="V57:X58"/>
    <mergeCell ref="Y57:Z58"/>
    <mergeCell ref="AJ57:AQ57"/>
    <mergeCell ref="Y60:Z60"/>
    <mergeCell ref="AL60:AV60"/>
    <mergeCell ref="Q58:S58"/>
    <mergeCell ref="U66:X66"/>
    <mergeCell ref="Y66:Z66"/>
    <mergeCell ref="Y61:Z61"/>
    <mergeCell ref="AC61:AI61"/>
    <mergeCell ref="Q59:S59"/>
    <mergeCell ref="Y59:Z59"/>
    <mergeCell ref="Y63:Z63"/>
    <mergeCell ref="AN59:AU59"/>
    <mergeCell ref="Q60:S60"/>
    <mergeCell ref="Y64:Z64"/>
    <mergeCell ref="Y65:Z65"/>
  </mergeCells>
  <conditionalFormatting sqref="P38:P39">
    <cfRule type="cellIs" dxfId="11" priority="10" stopIfTrue="1" operator="greaterThan">
      <formula>40</formula>
    </cfRule>
  </conditionalFormatting>
  <conditionalFormatting sqref="AV19 AR21:AR22 AV26 AF29 X32 AV33 AR36 AV40 AR43 H36:H37 AF42:AF45">
    <cfRule type="cellIs" dxfId="10" priority="11" stopIfTrue="1" operator="greaterThan">
      <formula>40</formula>
    </cfRule>
  </conditionalFormatting>
  <conditionalFormatting sqref="K17:L17 AB22 AB29 AB36 AB43 S19:T19 AA16 AE41:AF41 D21 D28 D35 D42 H19 H26 H33:H34 H40:H41 L23 L30 L37 L44 P21 P28 P35:P36 T25 T32 T39 T46 X22 X29:X30 X36:X37 AF19 AF26:AF27 AF33:AF34 AJ17 AJ24 AI32:AJ32 AJ31 AJ38 AJ45 AN21 AN28 AN35 AN42 AR19:AR20 AR26:AR27 AR33:AR34 AR40:AR41 AV16:AV17 AV23:AV24 AV30:AV31 AV37:AV38 AV44:AV45 P42:P43">
    <cfRule type="cellIs" dxfId="9" priority="9" stopIfTrue="1" operator="greaterThan">
      <formula>40</formula>
    </cfRule>
  </conditionalFormatting>
  <conditionalFormatting sqref="L16">
    <cfRule type="cellIs" dxfId="8" priority="8" stopIfTrue="1" operator="greaterThan">
      <formula>40</formula>
    </cfRule>
  </conditionalFormatting>
  <conditionalFormatting sqref="T18">
    <cfRule type="cellIs" dxfId="7" priority="7" stopIfTrue="1" operator="greaterThan">
      <formula>40</formula>
    </cfRule>
  </conditionalFormatting>
  <conditionalFormatting sqref="X43">
    <cfRule type="cellIs" dxfId="6" priority="6" stopIfTrue="1" operator="greaterThan">
      <formula>40</formula>
    </cfRule>
  </conditionalFormatting>
  <conditionalFormatting sqref="AF40">
    <cfRule type="cellIs" dxfId="5" priority="5" stopIfTrue="1" operator="greaterThan">
      <formula>40</formula>
    </cfRule>
  </conditionalFormatting>
  <conditionalFormatting sqref="I66">
    <cfRule type="cellIs" dxfId="4" priority="4" stopIfTrue="1" operator="greaterThan">
      <formula>1</formula>
    </cfRule>
  </conditionalFormatting>
  <conditionalFormatting sqref="I67">
    <cfRule type="cellIs" dxfId="3" priority="2" stopIfTrue="1" operator="greaterThan">
      <formula>151.67</formula>
    </cfRule>
    <cfRule type="cellIs" dxfId="2" priority="3" stopIfTrue="1" operator="greaterThan">
      <formula>"151.67"</formula>
    </cfRule>
  </conditionalFormatting>
  <conditionalFormatting sqref="K52">
    <cfRule type="cellIs" dxfId="1" priority="12" stopIfTrue="1" operator="notEqual">
      <formula>$I$65</formula>
    </cfRule>
  </conditionalFormatting>
  <conditionalFormatting sqref="O54">
    <cfRule type="cellIs" dxfId="0" priority="1" stopIfTrue="1" operator="notEqual">
      <formula>$Y$66</formula>
    </cfRule>
  </conditionalFormatting>
  <printOptions horizontalCentered="1" verticalCentered="1"/>
  <pageMargins left="0.19685039370078741" right="0.19685039370078741" top="0.19685039370078741" bottom="0.31496062992125984" header="0.51181102362204722" footer="0.15748031496062992"/>
  <pageSetup paperSize="9" scale="60" orientation="landscape" r:id="rId1"/>
  <headerFooter alignWithMargins="0">
    <oddFooter>&amp;L&amp;"Comic Sans MS,Normal"&amp;7&amp;D&amp;C&amp;"Comic Sans MS,Normal"&amp;7&amp;A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B7378B7C2984D912AEAE9C9F2174F" ma:contentTypeVersion="16" ma:contentTypeDescription="Crée un document." ma:contentTypeScope="" ma:versionID="36db5d08aed3188cc56900820fbb7d63">
  <xsd:schema xmlns:xsd="http://www.w3.org/2001/XMLSchema" xmlns:xs="http://www.w3.org/2001/XMLSchema" xmlns:p="http://schemas.microsoft.com/office/2006/metadata/properties" xmlns:ns2="8f69c933-c4d8-4208-a15a-da10d6403563" xmlns:ns3="f02f280b-034e-4d47-896c-d8e704fa6294" targetNamespace="http://schemas.microsoft.com/office/2006/metadata/properties" ma:root="true" ma:fieldsID="5b44988f697a5c29fb8cbb38c901f553" ns2:_="" ns3:_="">
    <xsd:import namespace="8f69c933-c4d8-4208-a15a-da10d6403563"/>
    <xsd:import namespace="f02f280b-034e-4d47-896c-d8e704fa6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9c933-c4d8-4208-a15a-da10d64035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7819acf9-3f53-4112-8c6d-1653454e0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f280b-034e-4d47-896c-d8e704fa6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1e5bf02-e60e-4a61-b4e1-1b592acfebd9}" ma:internalName="TaxCatchAll" ma:showField="CatchAllData" ma:web="f02f280b-034e-4d47-896c-d8e704fa62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DC8D9B-90CD-4165-A18E-A21B12C5C79B}"/>
</file>

<file path=customXml/itemProps2.xml><?xml version="1.0" encoding="utf-8"?>
<ds:datastoreItem xmlns:ds="http://schemas.openxmlformats.org/officeDocument/2006/customXml" ds:itemID="{5FD3BF07-9EA7-40D4-9E3B-B67C8F76BC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UROGEC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DEMAILLET</dc:creator>
  <cp:keywords/>
  <dc:description/>
  <cp:lastModifiedBy>X</cp:lastModifiedBy>
  <cp:revision/>
  <dcterms:created xsi:type="dcterms:W3CDTF">2001-09-10T13:01:50Z</dcterms:created>
  <dcterms:modified xsi:type="dcterms:W3CDTF">2025-09-09T07:33:56Z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0x01010009AB7378B7C2984D912AEAE9C9F2174F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