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ogec.sharepoint.com/sites/pole-eco-gestion/Documents partages/General/Activité du Pôle Éco-Gestion/Journée Gestion 2022/"/>
    </mc:Choice>
  </mc:AlternateContent>
  <xr:revisionPtr revIDLastSave="339" documentId="8_{6E93775D-AA8E-4296-BA68-47FE3AF98671}" xr6:coauthVersionLast="47" xr6:coauthVersionMax="47" xr10:uidLastSave="{A5D7E649-EB7C-42B7-8C20-E8B7ACD7952B}"/>
  <bookViews>
    <workbookView xWindow="-98" yWindow="-98" windowWidth="20715" windowHeight="13276" xr2:uid="{FE757DF0-1D5E-4421-86DB-A95393C09282}"/>
  </bookViews>
  <sheets>
    <sheet name="Simulateur Ecole" sheetId="1" r:id="rId1"/>
    <sheet name="Simulateur 2nd degré isolé" sheetId="2" r:id="rId2"/>
    <sheet name="Simulateur Groupe scolai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3" l="1"/>
  <c r="N15" i="3"/>
  <c r="N17" i="3"/>
  <c r="N14" i="3"/>
  <c r="N13" i="3"/>
  <c r="N12" i="3"/>
  <c r="N8" i="2"/>
  <c r="M8" i="2"/>
  <c r="N8" i="1"/>
  <c r="M13" i="2" l="1"/>
  <c r="M12" i="2"/>
  <c r="M10" i="2"/>
  <c r="M15" i="3"/>
  <c r="M14" i="3"/>
  <c r="M17" i="3"/>
  <c r="M16" i="3"/>
  <c r="M13" i="3"/>
  <c r="M12" i="3"/>
  <c r="M11" i="3"/>
  <c r="M10" i="3"/>
  <c r="M9" i="3"/>
  <c r="M8" i="3"/>
  <c r="B18" i="1"/>
  <c r="M16" i="2"/>
  <c r="M15" i="2"/>
  <c r="M11" i="2"/>
  <c r="M9" i="2"/>
  <c r="M12" i="1"/>
  <c r="M11" i="1"/>
  <c r="M16" i="1"/>
  <c r="M15" i="1"/>
  <c r="M14" i="1"/>
  <c r="M10" i="1"/>
  <c r="M9" i="1"/>
  <c r="M17" i="1"/>
  <c r="M13" i="1"/>
  <c r="N9" i="3" l="1"/>
  <c r="N12" i="1"/>
  <c r="M18" i="3"/>
  <c r="N16" i="1"/>
  <c r="N13" i="1"/>
  <c r="N11" i="1"/>
  <c r="N10" i="3"/>
  <c r="N8" i="3"/>
  <c r="N18" i="3" s="1"/>
  <c r="N16" i="3"/>
  <c r="N12" i="2"/>
  <c r="N9" i="2"/>
  <c r="N10" i="2"/>
  <c r="N16" i="2"/>
  <c r="N11" i="2"/>
  <c r="N13" i="2"/>
  <c r="N14" i="2"/>
  <c r="M14" i="2" s="1"/>
  <c r="M17" i="2" s="1"/>
  <c r="N15" i="2"/>
  <c r="N14" i="1"/>
  <c r="M8" i="1"/>
  <c r="M18" i="1" s="1"/>
  <c r="N9" i="1"/>
  <c r="N10" i="1"/>
  <c r="N17" i="1"/>
  <c r="N15" i="1"/>
  <c r="N17" i="2" l="1"/>
  <c r="N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Clarisse WALCKENAER</author>
    <author>Caroline VANLERBERGHE</author>
  </authors>
  <commentList>
    <comment ref="D2" authorId="0" shapeId="0" xr:uid="{1375D42D-FB00-4C87-971B-890D2AB14150}">
      <text>
        <r>
          <rPr>
            <b/>
            <sz val="9"/>
            <color indexed="81"/>
            <rFont val="Tahoma"/>
            <family val="2"/>
          </rPr>
          <t>A compléter</t>
        </r>
      </text>
    </comment>
    <comment ref="I2" authorId="0" shapeId="0" xr:uid="{05B39E05-221B-4C27-A123-6F3B0E40796F}">
      <text>
        <r>
          <rPr>
            <b/>
            <sz val="9"/>
            <color indexed="81"/>
            <rFont val="Tahoma"/>
            <family val="2"/>
          </rPr>
          <t>A compléter</t>
        </r>
      </text>
    </comment>
    <comment ref="D12" authorId="1" shapeId="0" xr:uid="{00BAA46C-523D-4556-8621-12B60B354EDA}">
      <text>
        <r>
          <rPr>
            <b/>
            <sz val="9"/>
            <color indexed="81"/>
            <rFont val="Tahoma"/>
            <family val="2"/>
          </rPr>
          <t>Caroline VANLERBERGHE:</t>
        </r>
        <r>
          <rPr>
            <sz val="9"/>
            <color indexed="81"/>
            <rFont val="Tahoma"/>
            <family val="2"/>
          </rPr>
          <t xml:space="preserve">
Attention : ce nb d'Ogec inclut les groupes scolaires qui ont des classes de maternelle =&gt; 805 est à rapporter à un nb total d'Ogec de 848 et non de 517 (qui correspond aux écoles isolées)</t>
        </r>
      </text>
    </comment>
    <comment ref="E12" authorId="0" shapeId="0" xr:uid="{2B2DA575-039C-4B24-BB53-4A8C98CCF56A}">
      <text>
        <r>
          <rPr>
            <sz val="9"/>
            <color indexed="81"/>
            <rFont val="Tahoma"/>
            <family val="2"/>
          </rPr>
          <t>Nombre d'élèves moyen en maternelle uniquement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Clarisse WALCKENAER</author>
  </authors>
  <commentList>
    <comment ref="D2" authorId="0" shapeId="0" xr:uid="{929D51A4-E011-4BCC-90AA-56680B824DB1}">
      <text>
        <r>
          <rPr>
            <b/>
            <sz val="9"/>
            <color indexed="81"/>
            <rFont val="Tahoma"/>
            <family val="2"/>
          </rPr>
          <t>A compléter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Clarisse WALCKENAER</author>
    <author>Caroline VANLERBERGHE</author>
  </authors>
  <commentList>
    <comment ref="D2" authorId="0" shapeId="0" xr:uid="{CB22C3B3-393D-45C6-A71E-819B69FDD4E8}">
      <text>
        <r>
          <rPr>
            <b/>
            <sz val="9"/>
            <color indexed="81"/>
            <rFont val="Tahoma"/>
            <family val="2"/>
          </rPr>
          <t>A compléter</t>
        </r>
      </text>
    </comment>
    <comment ref="I2" authorId="0" shapeId="0" xr:uid="{7AF6B26F-D8F1-44F0-99F4-4CF393C221C8}">
      <text>
        <r>
          <rPr>
            <b/>
            <sz val="9"/>
            <color indexed="81"/>
            <rFont val="Tahoma"/>
            <family val="2"/>
          </rPr>
          <t>A compléter</t>
        </r>
      </text>
    </comment>
    <comment ref="D12" authorId="1" shapeId="0" xr:uid="{8495C847-36D8-4833-BD22-61A48DB6DE83}">
      <text>
        <r>
          <rPr>
            <b/>
            <sz val="9"/>
            <color indexed="81"/>
            <rFont val="Tahoma"/>
            <family val="2"/>
          </rPr>
          <t>Caroline VANLERBERGHE:</t>
        </r>
        <r>
          <rPr>
            <sz val="9"/>
            <color indexed="81"/>
            <rFont val="Tahoma"/>
            <family val="2"/>
          </rPr>
          <t xml:space="preserve">
Attention : ce nb d'Ogec inclut les écoles isolées qui ont des classes de maternelle =&gt; 805 est à rapporter à un nb total d'Ogec de 848 et non de 336 (qui correspond aux groupes scolaires)</t>
        </r>
      </text>
    </comment>
    <comment ref="E12" authorId="0" shapeId="0" xr:uid="{92A43F98-DB6A-433C-B612-DE4D9E1294F0}">
      <text>
        <r>
          <rPr>
            <b/>
            <sz val="9"/>
            <color indexed="81"/>
            <rFont val="Tahoma"/>
            <family val="2"/>
          </rPr>
          <t>Clarisse WALCKENAER:</t>
        </r>
        <r>
          <rPr>
            <sz val="9"/>
            <color indexed="81"/>
            <rFont val="Tahoma"/>
            <family val="2"/>
          </rPr>
          <t xml:space="preserve">
Nombre d'élèves moyen en maternelle </t>
        </r>
      </text>
    </comment>
  </commentList>
</comments>
</file>

<file path=xl/sharedStrings.xml><?xml version="1.0" encoding="utf-8"?>
<sst xmlns="http://schemas.openxmlformats.org/spreadsheetml/2006/main" count="98" uniqueCount="45">
  <si>
    <t>% Ogec ne recrutant pas pour cette fonction</t>
  </si>
  <si>
    <t>Nb Ogec recrutant pour cette fonction</t>
  </si>
  <si>
    <t>ETP 
min.</t>
  </si>
  <si>
    <t>ETP 
max.</t>
  </si>
  <si>
    <t>Direction (hors chef d'établissement)</t>
  </si>
  <si>
    <t>Education et pédagogie</t>
  </si>
  <si>
    <t>Vie scolaire cadre</t>
  </si>
  <si>
    <t>Vie scolaire non cadre</t>
  </si>
  <si>
    <t>Assistance pédagogique (*)</t>
  </si>
  <si>
    <t>Administration générale</t>
  </si>
  <si>
    <t>Comptabilité - Gestion</t>
  </si>
  <si>
    <t>Nettoyage des locaux</t>
  </si>
  <si>
    <t>Entretien et maintenance</t>
  </si>
  <si>
    <t>Logistique</t>
  </si>
  <si>
    <t>517 Ogec</t>
  </si>
  <si>
    <t>84 031 élèves en 2019/2020</t>
  </si>
  <si>
    <t>Effectif moyen de 163 élèves</t>
  </si>
  <si>
    <t>2019/2020</t>
  </si>
  <si>
    <t>(*) ETP analysé par rapport à l'effectif de maternelle</t>
  </si>
  <si>
    <t>Simulateur</t>
  </si>
  <si>
    <t xml:space="preserve">Etude de l'échantillon </t>
  </si>
  <si>
    <t>Nb d'ETP dans les 517 Ogec</t>
  </si>
  <si>
    <t>Nb élèves min</t>
  </si>
  <si>
    <t>Nb élèves max</t>
  </si>
  <si>
    <t>Nb élèves moyen</t>
  </si>
  <si>
    <t>ETP 
moyen</t>
  </si>
  <si>
    <t>ETP 
médian</t>
  </si>
  <si>
    <t>Nombre d'élèves de maternelle</t>
  </si>
  <si>
    <t>69 Ogec</t>
  </si>
  <si>
    <t>56 133 élèves en 2019/2020</t>
  </si>
  <si>
    <t>Effectif moyen de 814 élèves</t>
  </si>
  <si>
    <t xml:space="preserve">Administration générale </t>
  </si>
  <si>
    <t>Nombre total d'élèves</t>
  </si>
  <si>
    <t>336 Ogec</t>
  </si>
  <si>
    <t>335 963 élèves en 2019/2020</t>
  </si>
  <si>
    <t>Effectif moyen de 1000 élèves</t>
  </si>
  <si>
    <t>Absence de corrélation linéraire =&gt; ETP tendance proposé = ETP moyen</t>
  </si>
  <si>
    <t>Simulateur ETP "Ecoles"</t>
  </si>
  <si>
    <t>Absence de corrélation linéraire =&gt; ETP tendance retenu = ETP moyen</t>
  </si>
  <si>
    <t>Simulateur ETP "2nd degré isolé"</t>
  </si>
  <si>
    <t>Simulateur ETP "Groupes scolaires"</t>
  </si>
  <si>
    <t>ETP TENDANCE
calculé à partir de la droite de régression linéaire</t>
  </si>
  <si>
    <t>ETP MOYEN
calculé à partir de l'ETP moyen et du nombre d'élèves moyen</t>
  </si>
  <si>
    <t>Total ETP (10 fonctions économiques)</t>
  </si>
  <si>
    <t>Total ETP (9 fonctions économiques)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</si>
</sst>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692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9" fontId="0" fillId="0" borderId="0" xfId="1" applyFont="1"/>
    <xf numFmtId="0" fontId="4" fillId="5" borderId="0" xfId="0" applyFont="1" applyFill="1" applyBorder="1" applyAlignment="1">
      <alignment wrapText="1"/>
    </xf>
    <xf numFmtId="164" fontId="4" fillId="5" borderId="0" xfId="0" applyNumberFormat="1" applyFont="1" applyFill="1" applyBorder="1"/>
    <xf numFmtId="9" fontId="0" fillId="5" borderId="0" xfId="0" applyNumberFormat="1" applyFill="1" applyBorder="1"/>
    <xf numFmtId="1" fontId="0" fillId="5" borderId="0" xfId="0" applyNumberFormat="1" applyFill="1" applyBorder="1"/>
    <xf numFmtId="164" fontId="0" fillId="5" borderId="0" xfId="0" applyNumberFormat="1" applyFill="1" applyBorder="1"/>
    <xf numFmtId="164" fontId="0" fillId="3" borderId="0" xfId="0" applyNumberFormat="1" applyFill="1" applyBorder="1"/>
    <xf numFmtId="0" fontId="0" fillId="5" borderId="0" xfId="0" applyFill="1" applyBorder="1" applyAlignment="1">
      <alignment vertical="center" wrapText="1"/>
    </xf>
    <xf numFmtId="164" fontId="0" fillId="5" borderId="0" xfId="0" applyNumberFormat="1" applyFill="1" applyBorder="1" applyAlignment="1">
      <alignment vertical="center"/>
    </xf>
    <xf numFmtId="9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164" fontId="2" fillId="4" borderId="0" xfId="0" applyNumberFormat="1" applyFont="1" applyFill="1" applyBorder="1"/>
    <xf numFmtId="0" fontId="2" fillId="4" borderId="0" xfId="0" applyFont="1" applyFill="1" applyBorder="1"/>
    <xf numFmtId="0" fontId="2" fillId="5" borderId="0" xfId="0" applyFont="1" applyFill="1" applyBorder="1" applyAlignment="1">
      <alignment horizontal="center"/>
    </xf>
    <xf numFmtId="0" fontId="8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horizontal="center"/>
    </xf>
    <xf numFmtId="164" fontId="0" fillId="6" borderId="0" xfId="0" applyNumberFormat="1" applyFill="1" applyBorder="1"/>
    <xf numFmtId="0" fontId="0" fillId="3" borderId="0" xfId="0" applyFill="1"/>
    <xf numFmtId="0" fontId="9" fillId="5" borderId="0" xfId="0" applyFont="1" applyFill="1"/>
    <xf numFmtId="0" fontId="5" fillId="5" borderId="0" xfId="0" applyFont="1" applyFill="1" applyAlignment="1">
      <alignment wrapText="1"/>
    </xf>
    <xf numFmtId="165" fontId="5" fillId="5" borderId="0" xfId="1" applyNumberFormat="1" applyFont="1" applyFill="1" applyBorder="1" applyAlignment="1">
      <alignment wrapText="1"/>
    </xf>
    <xf numFmtId="9" fontId="0" fillId="5" borderId="0" xfId="0" applyNumberFormat="1" applyFill="1"/>
    <xf numFmtId="1" fontId="0" fillId="5" borderId="0" xfId="0" applyNumberFormat="1" applyFill="1"/>
    <xf numFmtId="164" fontId="0" fillId="5" borderId="0" xfId="0" applyNumberFormat="1" applyFill="1"/>
    <xf numFmtId="164" fontId="3" fillId="5" borderId="0" xfId="0" applyNumberFormat="1" applyFont="1" applyFill="1"/>
    <xf numFmtId="0" fontId="2" fillId="5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5" borderId="0" xfId="0" applyFont="1" applyFill="1" applyAlignment="1">
      <alignment horizontal="left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5692C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625D-5529-4BE5-B03D-5823775E36BA}">
  <sheetPr>
    <tabColor rgb="FFC00000"/>
    <pageSetUpPr fitToPage="1"/>
  </sheetPr>
  <dimension ref="A1:N21"/>
  <sheetViews>
    <sheetView tabSelected="1" workbookViewId="0">
      <selection activeCell="M18" sqref="M18"/>
    </sheetView>
  </sheetViews>
  <sheetFormatPr baseColWidth="10" defaultColWidth="11.3984375" defaultRowHeight="14.25" x14ac:dyDescent="0.45"/>
  <cols>
    <col min="1" max="1" width="31.59765625" customWidth="1"/>
    <col min="2" max="4" width="10" customWidth="1"/>
    <col min="5" max="11" width="6.86328125" customWidth="1"/>
    <col min="12" max="12" width="0.86328125" customWidth="1"/>
    <col min="13" max="14" width="16.33203125" customWidth="1"/>
  </cols>
  <sheetData>
    <row r="1" spans="1:14" x14ac:dyDescent="0.45">
      <c r="A1" s="29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45">
      <c r="A2" s="25" t="s">
        <v>14</v>
      </c>
      <c r="B2" s="1"/>
      <c r="C2" s="2" t="s">
        <v>32</v>
      </c>
      <c r="D2" s="1">
        <v>150</v>
      </c>
      <c r="E2" s="1"/>
      <c r="F2" s="1"/>
      <c r="G2" s="1"/>
      <c r="H2" s="2" t="s">
        <v>27</v>
      </c>
      <c r="I2" s="1">
        <v>60</v>
      </c>
      <c r="J2" s="25"/>
      <c r="K2" s="25"/>
      <c r="L2" s="25"/>
      <c r="M2" s="25"/>
      <c r="N2" s="25"/>
    </row>
    <row r="3" spans="1:14" x14ac:dyDescent="0.4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4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45">
      <c r="A6" s="46" t="s">
        <v>17</v>
      </c>
      <c r="B6" s="44" t="s">
        <v>21</v>
      </c>
      <c r="C6" s="44" t="s">
        <v>0</v>
      </c>
      <c r="D6" s="41" t="s">
        <v>20</v>
      </c>
      <c r="E6" s="41"/>
      <c r="F6" s="41"/>
      <c r="G6" s="41"/>
      <c r="H6" s="41"/>
      <c r="I6" s="41"/>
      <c r="J6" s="41"/>
      <c r="K6" s="41"/>
      <c r="L6" s="36"/>
      <c r="M6" s="41" t="s">
        <v>19</v>
      </c>
      <c r="N6" s="42"/>
    </row>
    <row r="7" spans="1:14" ht="73.5" customHeight="1" x14ac:dyDescent="0.45">
      <c r="A7" s="46"/>
      <c r="B7" s="45"/>
      <c r="C7" s="45"/>
      <c r="D7" s="37" t="s">
        <v>1</v>
      </c>
      <c r="E7" s="37" t="s">
        <v>24</v>
      </c>
      <c r="F7" s="37" t="s">
        <v>25</v>
      </c>
      <c r="G7" s="37" t="s">
        <v>26</v>
      </c>
      <c r="H7" s="37" t="s">
        <v>2</v>
      </c>
      <c r="I7" s="37" t="s">
        <v>3</v>
      </c>
      <c r="J7" s="37" t="s">
        <v>22</v>
      </c>
      <c r="K7" s="37" t="s">
        <v>23</v>
      </c>
      <c r="L7" s="38"/>
      <c r="M7" s="39" t="s">
        <v>41</v>
      </c>
      <c r="N7" s="40" t="s">
        <v>42</v>
      </c>
    </row>
    <row r="8" spans="1:14" x14ac:dyDescent="0.45">
      <c r="A8" s="10" t="s">
        <v>4</v>
      </c>
      <c r="B8" s="11">
        <v>0.74396588956865495</v>
      </c>
      <c r="C8" s="12">
        <v>0.97485493230174081</v>
      </c>
      <c r="D8" s="13">
        <v>13</v>
      </c>
      <c r="E8" s="14">
        <v>205.92307692307693</v>
      </c>
      <c r="F8" s="14">
        <v>0.14533049079738788</v>
      </c>
      <c r="G8" s="14">
        <v>6.7473118279569921E-2</v>
      </c>
      <c r="H8" s="14">
        <v>4.4219827586208238E-3</v>
      </c>
      <c r="I8" s="14">
        <v>0.65372777777777769</v>
      </c>
      <c r="J8" s="13">
        <v>67</v>
      </c>
      <c r="K8" s="13">
        <v>391</v>
      </c>
      <c r="L8" s="23"/>
      <c r="M8" s="15">
        <f>N8</f>
        <v>0.10586270341983801</v>
      </c>
      <c r="N8" s="14">
        <f>D2*$F$8/$E$8</f>
        <v>0.10586270341983801</v>
      </c>
    </row>
    <row r="9" spans="1:14" s="7" customFormat="1" x14ac:dyDescent="0.45">
      <c r="A9" s="16" t="s">
        <v>5</v>
      </c>
      <c r="B9" s="17">
        <v>75.073987759873532</v>
      </c>
      <c r="C9" s="18">
        <v>0.72</v>
      </c>
      <c r="D9" s="13">
        <v>145</v>
      </c>
      <c r="E9" s="14">
        <v>250.4</v>
      </c>
      <c r="F9" s="14">
        <v>0.5</v>
      </c>
      <c r="G9" s="14">
        <v>0.38</v>
      </c>
      <c r="H9" s="14">
        <v>1.0752688172043E-4</v>
      </c>
      <c r="I9" s="14">
        <v>3.1791666666666667</v>
      </c>
      <c r="J9" s="13">
        <v>36</v>
      </c>
      <c r="K9" s="13">
        <v>738</v>
      </c>
      <c r="L9" s="23"/>
      <c r="M9" s="14">
        <f>IF(D2&lt;20,0,(D2-20)*0.23/100)</f>
        <v>0.29900000000000004</v>
      </c>
      <c r="N9" s="14">
        <f>D2*$F$9/$E$9</f>
        <v>0.29952076677316292</v>
      </c>
    </row>
    <row r="10" spans="1:14" x14ac:dyDescent="0.45">
      <c r="A10" s="19" t="s">
        <v>6</v>
      </c>
      <c r="B10" s="14">
        <v>12.781528516752076</v>
      </c>
      <c r="C10" s="12">
        <v>0.88</v>
      </c>
      <c r="D10" s="13">
        <v>62</v>
      </c>
      <c r="E10" s="14">
        <v>290.5</v>
      </c>
      <c r="F10" s="14">
        <v>0.2</v>
      </c>
      <c r="G10" s="14">
        <v>0.1</v>
      </c>
      <c r="H10" s="14">
        <v>4.9999999999999906E-3</v>
      </c>
      <c r="I10" s="14">
        <v>1.8951780821917801</v>
      </c>
      <c r="J10" s="13">
        <v>44</v>
      </c>
      <c r="K10" s="13">
        <v>738</v>
      </c>
      <c r="L10" s="23"/>
      <c r="M10" s="14">
        <f>IF(D2&lt;105,0,(D2-105)*0.11/100)</f>
        <v>4.9500000000000002E-2</v>
      </c>
      <c r="N10" s="14">
        <f>D2*$F$10/$E$10</f>
        <v>0.10327022375215146</v>
      </c>
    </row>
    <row r="11" spans="1:14" x14ac:dyDescent="0.45">
      <c r="A11" s="19" t="s">
        <v>7</v>
      </c>
      <c r="B11" s="14">
        <v>497.22141845303878</v>
      </c>
      <c r="C11" s="12">
        <v>0.04</v>
      </c>
      <c r="D11" s="13">
        <v>494</v>
      </c>
      <c r="E11" s="14">
        <v>166.18218623481781</v>
      </c>
      <c r="F11" s="14">
        <v>1.0065210899859078</v>
      </c>
      <c r="G11" s="14">
        <v>0.74055080645161275</v>
      </c>
      <c r="H11" s="14">
        <v>5.71297491039426E-3</v>
      </c>
      <c r="I11" s="14">
        <v>7.1780672043010734</v>
      </c>
      <c r="J11" s="13">
        <v>18</v>
      </c>
      <c r="K11" s="13">
        <v>738</v>
      </c>
      <c r="L11" s="23"/>
      <c r="M11" s="14">
        <f>IF(D2&lt;4,0,(D2-4)*1/150)</f>
        <v>0.97333333333333338</v>
      </c>
      <c r="N11" s="14">
        <f>D2*$F$11/$E$11</f>
        <v>0.90850991263619485</v>
      </c>
    </row>
    <row r="12" spans="1:14" x14ac:dyDescent="0.45">
      <c r="A12" s="19" t="s">
        <v>8</v>
      </c>
      <c r="B12" s="14">
        <v>578.82367222135827</v>
      </c>
      <c r="C12" s="12">
        <v>0.05</v>
      </c>
      <c r="D12" s="13">
        <v>805</v>
      </c>
      <c r="E12" s="14">
        <v>73.400000000000006</v>
      </c>
      <c r="F12" s="14">
        <v>1.5</v>
      </c>
      <c r="G12" s="14">
        <v>1.1000000000000001</v>
      </c>
      <c r="H12" s="14">
        <v>0.01</v>
      </c>
      <c r="I12" s="14">
        <v>8.8000000000000007</v>
      </c>
      <c r="J12" s="13">
        <v>7</v>
      </c>
      <c r="K12" s="13">
        <v>424</v>
      </c>
      <c r="L12" s="23"/>
      <c r="M12" s="14">
        <f>IF(I2=0,0,0.23+0.51*I2/30)</f>
        <v>1.25</v>
      </c>
      <c r="N12" s="14">
        <f>I2*$F$12/$E$12</f>
        <v>1.2261580381471389</v>
      </c>
    </row>
    <row r="13" spans="1:14" x14ac:dyDescent="0.45">
      <c r="A13" s="19" t="s">
        <v>9</v>
      </c>
      <c r="B13" s="14">
        <v>136.64564898436066</v>
      </c>
      <c r="C13" s="12">
        <v>0.48</v>
      </c>
      <c r="D13" s="13">
        <v>270</v>
      </c>
      <c r="E13" s="14">
        <v>220.7</v>
      </c>
      <c r="F13" s="14">
        <v>0.5</v>
      </c>
      <c r="G13" s="14">
        <v>0.42</v>
      </c>
      <c r="H13" s="14">
        <v>3.3888888888888798E-4</v>
      </c>
      <c r="I13" s="14">
        <v>2.5339999999999998</v>
      </c>
      <c r="J13" s="13">
        <v>26</v>
      </c>
      <c r="K13" s="13">
        <v>738</v>
      </c>
      <c r="L13" s="23"/>
      <c r="M13" s="14">
        <f>IF(D2&lt;30,0,(D2-30)*0.26/100)</f>
        <v>0.31200000000000006</v>
      </c>
      <c r="N13" s="14">
        <f>D2*$F$13/$E$13</f>
        <v>0.33982782057091077</v>
      </c>
    </row>
    <row r="14" spans="1:14" x14ac:dyDescent="0.45">
      <c r="A14" s="19" t="s">
        <v>10</v>
      </c>
      <c r="B14" s="14">
        <v>78.068878127946959</v>
      </c>
      <c r="C14" s="12">
        <v>0.56000000000000005</v>
      </c>
      <c r="D14" s="13">
        <v>225</v>
      </c>
      <c r="E14" s="14">
        <v>232.5</v>
      </c>
      <c r="F14" s="14">
        <v>0.3469727916797643</v>
      </c>
      <c r="G14" s="14">
        <v>0.30999999999999961</v>
      </c>
      <c r="H14" s="14">
        <v>8.4722222222221991E-4</v>
      </c>
      <c r="I14" s="14">
        <v>1.3034999999999999</v>
      </c>
      <c r="J14" s="13">
        <v>46</v>
      </c>
      <c r="K14" s="13">
        <v>566</v>
      </c>
      <c r="L14" s="23"/>
      <c r="M14" s="14">
        <f>IF(D2=0,0,0.14+0.09*D2/100)</f>
        <v>0.27500000000000002</v>
      </c>
      <c r="N14" s="14">
        <f>D2*$F$14/$E$14</f>
        <v>0.22385341398694469</v>
      </c>
    </row>
    <row r="15" spans="1:14" x14ac:dyDescent="0.45">
      <c r="A15" s="19" t="s">
        <v>11</v>
      </c>
      <c r="B15" s="14">
        <v>236.21198309766248</v>
      </c>
      <c r="C15" s="12">
        <v>0.11</v>
      </c>
      <c r="D15" s="13">
        <v>462</v>
      </c>
      <c r="E15" s="14">
        <v>158.4</v>
      </c>
      <c r="F15" s="14">
        <v>0.5</v>
      </c>
      <c r="G15" s="14">
        <v>0.4</v>
      </c>
      <c r="H15" s="14">
        <v>0</v>
      </c>
      <c r="I15" s="14">
        <v>2.4</v>
      </c>
      <c r="J15" s="13">
        <v>18</v>
      </c>
      <c r="K15" s="13">
        <v>738</v>
      </c>
      <c r="L15" s="23"/>
      <c r="M15" s="14">
        <f>IF(D2=0,0,0.18+0.21*D2/100)</f>
        <v>0.495</v>
      </c>
      <c r="N15" s="14">
        <f>D2*$F$15/$E$15</f>
        <v>0.47348484848484845</v>
      </c>
    </row>
    <row r="16" spans="1:14" x14ac:dyDescent="0.45">
      <c r="A16" s="19" t="s">
        <v>12</v>
      </c>
      <c r="B16" s="14">
        <v>13.183584503502955</v>
      </c>
      <c r="C16" s="12">
        <v>0.9</v>
      </c>
      <c r="D16" s="13">
        <v>51</v>
      </c>
      <c r="E16" s="14">
        <v>278.60000000000002</v>
      </c>
      <c r="F16" s="14">
        <v>0.25850165693143051</v>
      </c>
      <c r="G16" s="14">
        <v>0.1771971326164874</v>
      </c>
      <c r="H16" s="14">
        <v>5.6999999999999898E-3</v>
      </c>
      <c r="I16" s="14">
        <v>1</v>
      </c>
      <c r="J16" s="13">
        <v>42</v>
      </c>
      <c r="K16" s="13">
        <v>738</v>
      </c>
      <c r="L16" s="23"/>
      <c r="M16" s="14">
        <f>IF(D2=0,0,0.05+0.07*D2/100)</f>
        <v>0.15500000000000003</v>
      </c>
      <c r="N16" s="14">
        <f>D2*$F$16/$E$16</f>
        <v>0.13917892512460364</v>
      </c>
    </row>
    <row r="17" spans="1:14" x14ac:dyDescent="0.45">
      <c r="A17" s="16" t="s">
        <v>13</v>
      </c>
      <c r="B17" s="14">
        <v>12.636754907304404</v>
      </c>
      <c r="C17" s="12">
        <v>0.82</v>
      </c>
      <c r="D17" s="13">
        <v>95</v>
      </c>
      <c r="E17" s="14">
        <v>231</v>
      </c>
      <c r="F17" s="14">
        <v>0.13301847270846739</v>
      </c>
      <c r="G17" s="14">
        <v>0.06</v>
      </c>
      <c r="H17" s="14">
        <v>3.8E-3</v>
      </c>
      <c r="I17" s="14">
        <v>0.89806586021505275</v>
      </c>
      <c r="J17" s="13">
        <v>40</v>
      </c>
      <c r="K17" s="13">
        <v>738</v>
      </c>
      <c r="L17" s="23"/>
      <c r="M17" s="14">
        <f>0.01+0.05*D2/100</f>
        <v>8.4999999999999992E-2</v>
      </c>
      <c r="N17" s="14">
        <f>D2*$F$17/$E$17</f>
        <v>8.6375631628874933E-2</v>
      </c>
    </row>
    <row r="18" spans="1:14" x14ac:dyDescent="0.45">
      <c r="A18" s="20" t="s">
        <v>43</v>
      </c>
      <c r="B18" s="21">
        <f>SUM(B8:B17)</f>
        <v>1641.3914224613686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f>SUM(M8:M17)</f>
        <v>3.9996960367531713</v>
      </c>
      <c r="N18" s="21">
        <f>SUM(N8:N17)</f>
        <v>3.906042284524669</v>
      </c>
    </row>
    <row r="19" spans="1:14" x14ac:dyDescent="0.45">
      <c r="A19" s="43" t="s">
        <v>18</v>
      </c>
      <c r="B19" s="43"/>
      <c r="C19" s="43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</row>
    <row r="20" spans="1:14" x14ac:dyDescent="0.45">
      <c r="A20" s="25"/>
      <c r="B20" s="25"/>
      <c r="C20" s="25"/>
      <c r="D20" s="25"/>
      <c r="E20" s="28"/>
      <c r="F20" s="25" t="s">
        <v>38</v>
      </c>
      <c r="G20" s="25"/>
      <c r="H20" s="25"/>
      <c r="I20" s="25"/>
      <c r="J20" s="25"/>
      <c r="K20" s="25"/>
      <c r="L20" s="26"/>
      <c r="M20" s="25"/>
      <c r="N20" s="25"/>
    </row>
    <row r="21" spans="1:14" x14ac:dyDescent="0.45">
      <c r="B21" s="8"/>
      <c r="C21" s="8"/>
      <c r="D21" s="8"/>
    </row>
  </sheetData>
  <mergeCells count="6">
    <mergeCell ref="M6:N6"/>
    <mergeCell ref="A19:C19"/>
    <mergeCell ref="B6:B7"/>
    <mergeCell ref="C6:C7"/>
    <mergeCell ref="D6:K6"/>
    <mergeCell ref="A6:A7"/>
  </mergeCells>
  <pageMargins left="0.7" right="0.7" top="0.75" bottom="0.75" header="0.3" footer="0.3"/>
  <pageSetup paperSize="9"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AB05-F026-45CF-A05B-0362B4D73BB0}">
  <sheetPr>
    <tabColor rgb="FFC00000"/>
    <pageSetUpPr fitToPage="1"/>
  </sheetPr>
  <dimension ref="A1:N32"/>
  <sheetViews>
    <sheetView workbookViewId="0">
      <selection activeCell="C8" sqref="C8:K16"/>
    </sheetView>
  </sheetViews>
  <sheetFormatPr baseColWidth="10" defaultColWidth="11.3984375" defaultRowHeight="14.25" x14ac:dyDescent="0.45"/>
  <cols>
    <col min="1" max="1" width="33.73046875" customWidth="1"/>
    <col min="2" max="4" width="10" customWidth="1"/>
    <col min="5" max="11" width="6.796875" customWidth="1"/>
    <col min="12" max="12" width="1.19921875" customWidth="1"/>
    <col min="13" max="14" width="13.86328125" customWidth="1"/>
  </cols>
  <sheetData>
    <row r="1" spans="1:14" x14ac:dyDescent="0.45">
      <c r="A1" s="29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45">
      <c r="A2" s="25" t="s">
        <v>28</v>
      </c>
      <c r="B2" s="1"/>
      <c r="C2" s="2" t="s">
        <v>32</v>
      </c>
      <c r="D2" s="1">
        <v>800</v>
      </c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4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4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45">
      <c r="A6" s="46" t="s">
        <v>17</v>
      </c>
      <c r="B6" s="44" t="s">
        <v>21</v>
      </c>
      <c r="C6" s="44" t="s">
        <v>0</v>
      </c>
      <c r="D6" s="41" t="s">
        <v>20</v>
      </c>
      <c r="E6" s="41"/>
      <c r="F6" s="41"/>
      <c r="G6" s="41"/>
      <c r="H6" s="41"/>
      <c r="I6" s="41"/>
      <c r="J6" s="41"/>
      <c r="K6" s="41"/>
      <c r="L6" s="36"/>
      <c r="M6" s="41" t="s">
        <v>19</v>
      </c>
      <c r="N6" s="42"/>
    </row>
    <row r="7" spans="1:14" ht="74.25" customHeight="1" x14ac:dyDescent="0.45">
      <c r="A7" s="46"/>
      <c r="B7" s="45"/>
      <c r="C7" s="45"/>
      <c r="D7" s="37" t="s">
        <v>1</v>
      </c>
      <c r="E7" s="37" t="s">
        <v>24</v>
      </c>
      <c r="F7" s="37" t="s">
        <v>25</v>
      </c>
      <c r="G7" s="37" t="s">
        <v>26</v>
      </c>
      <c r="H7" s="37" t="s">
        <v>2</v>
      </c>
      <c r="I7" s="37" t="s">
        <v>3</v>
      </c>
      <c r="J7" s="37" t="s">
        <v>22</v>
      </c>
      <c r="K7" s="37" t="s">
        <v>23</v>
      </c>
      <c r="L7" s="38"/>
      <c r="M7" s="39" t="s">
        <v>41</v>
      </c>
      <c r="N7" s="40" t="s">
        <v>42</v>
      </c>
    </row>
    <row r="8" spans="1:14" x14ac:dyDescent="0.45">
      <c r="A8" s="19" t="s">
        <v>4</v>
      </c>
      <c r="B8" s="14">
        <v>85.780952131092661</v>
      </c>
      <c r="C8" s="12">
        <v>0.30434782608695654</v>
      </c>
      <c r="D8" s="13">
        <v>48</v>
      </c>
      <c r="E8" s="14">
        <v>970.95833333333337</v>
      </c>
      <c r="F8" s="14">
        <v>1.7871031693977644</v>
      </c>
      <c r="G8" s="14">
        <v>1.0968637992831536</v>
      </c>
      <c r="H8" s="14">
        <v>7.9999999999999891E-2</v>
      </c>
      <c r="I8" s="14">
        <v>9.687071808181928</v>
      </c>
      <c r="J8" s="13">
        <v>161</v>
      </c>
      <c r="K8" s="13">
        <v>2725</v>
      </c>
      <c r="L8" s="23"/>
      <c r="M8" s="14">
        <f>IF(D2=0,0,0.5+0.4*D2/300)</f>
        <v>1.5666666666666667</v>
      </c>
      <c r="N8" s="14">
        <f>D2*$F$8/$E$8</f>
        <v>1.4724447861836276</v>
      </c>
    </row>
    <row r="9" spans="1:14" x14ac:dyDescent="0.45">
      <c r="A9" s="19" t="s">
        <v>5</v>
      </c>
      <c r="B9" s="14">
        <v>151.42432070949522</v>
      </c>
      <c r="C9" s="12">
        <v>0.16</v>
      </c>
      <c r="D9" s="13">
        <v>58</v>
      </c>
      <c r="E9" s="14">
        <v>912.8</v>
      </c>
      <c r="F9" s="14">
        <v>2.1</v>
      </c>
      <c r="G9" s="14">
        <v>1.229666666666666</v>
      </c>
      <c r="H9" s="14">
        <v>7.9166666666666604E-3</v>
      </c>
      <c r="I9" s="14">
        <v>21.256146953404986</v>
      </c>
      <c r="J9" s="13">
        <v>132</v>
      </c>
      <c r="K9" s="13">
        <v>2725</v>
      </c>
      <c r="L9" s="23"/>
      <c r="M9" s="14">
        <f>IF(D2&lt;260,0,(D2-260)*1.19/300)</f>
        <v>2.1419999999999999</v>
      </c>
      <c r="N9" s="14">
        <f>D2*$F$9/$E$9</f>
        <v>1.8404907975460123</v>
      </c>
    </row>
    <row r="10" spans="1:14" x14ac:dyDescent="0.45">
      <c r="A10" s="19" t="s">
        <v>6</v>
      </c>
      <c r="B10" s="14">
        <v>152.88069298108059</v>
      </c>
      <c r="C10" s="12">
        <v>7.0000000000000007E-2</v>
      </c>
      <c r="D10" s="13">
        <v>64</v>
      </c>
      <c r="E10" s="14">
        <v>862.8</v>
      </c>
      <c r="F10" s="14">
        <v>2.4</v>
      </c>
      <c r="G10" s="14">
        <v>1.3</v>
      </c>
      <c r="H10" s="14">
        <v>0.1</v>
      </c>
      <c r="I10" s="14">
        <v>9.7385833333333114</v>
      </c>
      <c r="J10" s="13">
        <v>117</v>
      </c>
      <c r="K10" s="13">
        <v>2725</v>
      </c>
      <c r="L10" s="23"/>
      <c r="M10" s="14">
        <f>IF(D2=0,0,0.07+0.81*D2/300)</f>
        <v>2.23</v>
      </c>
      <c r="N10" s="14">
        <f>D2*$F$10/$E$10</f>
        <v>2.2253129346314329</v>
      </c>
    </row>
    <row r="11" spans="1:14" x14ac:dyDescent="0.45">
      <c r="A11" s="19" t="s">
        <v>7</v>
      </c>
      <c r="B11" s="14">
        <v>385.56616759494739</v>
      </c>
      <c r="C11" s="12">
        <v>0.01</v>
      </c>
      <c r="D11" s="13">
        <v>68</v>
      </c>
      <c r="E11" s="14">
        <v>819.01470588235293</v>
      </c>
      <c r="F11" s="14">
        <v>5.6700906999256953</v>
      </c>
      <c r="G11" s="14">
        <v>3.4564435483870959</v>
      </c>
      <c r="H11" s="14">
        <v>0.4048360215053764</v>
      </c>
      <c r="I11" s="14">
        <v>21.419144257031377</v>
      </c>
      <c r="J11" s="13">
        <v>81</v>
      </c>
      <c r="K11" s="13">
        <v>2725</v>
      </c>
      <c r="L11" s="23"/>
      <c r="M11" s="14">
        <f>IF(D2&lt;4,0,(D2-4)*1/150)</f>
        <v>5.3066666666666666</v>
      </c>
      <c r="N11" s="14">
        <f>D2*$F$11/$E$11</f>
        <v>5.5384506863691634</v>
      </c>
    </row>
    <row r="12" spans="1:14" x14ac:dyDescent="0.45">
      <c r="A12" s="19" t="s">
        <v>31</v>
      </c>
      <c r="B12" s="14">
        <v>322.81106528246636</v>
      </c>
      <c r="C12" s="12">
        <v>0</v>
      </c>
      <c r="D12" s="13">
        <v>69</v>
      </c>
      <c r="E12" s="14">
        <v>813.5</v>
      </c>
      <c r="F12" s="14">
        <v>4.6784212359777761</v>
      </c>
      <c r="G12" s="14">
        <v>3.45</v>
      </c>
      <c r="H12" s="14">
        <v>0.24000000000000002</v>
      </c>
      <c r="I12" s="14">
        <v>18.943303130021004</v>
      </c>
      <c r="J12" s="13">
        <v>81</v>
      </c>
      <c r="K12" s="13">
        <v>2725</v>
      </c>
      <c r="L12" s="23"/>
      <c r="M12" s="14">
        <f>IF(D2=0,0,0.28+1.61*D2/300)</f>
        <v>4.5733333333333333</v>
      </c>
      <c r="N12" s="14">
        <f>D2*$F$12/$E$12</f>
        <v>4.6007830224735358</v>
      </c>
    </row>
    <row r="13" spans="1:14" x14ac:dyDescent="0.45">
      <c r="A13" s="19" t="s">
        <v>10</v>
      </c>
      <c r="B13" s="14">
        <v>100.60786013356416</v>
      </c>
      <c r="C13" s="12">
        <v>0.04</v>
      </c>
      <c r="D13" s="13">
        <v>66</v>
      </c>
      <c r="E13" s="14">
        <v>845.3</v>
      </c>
      <c r="F13" s="14">
        <v>1.5243615171752143</v>
      </c>
      <c r="G13" s="14">
        <v>1.3716111111111107</v>
      </c>
      <c r="H13" s="14">
        <v>4.583333333333333E-2</v>
      </c>
      <c r="I13" s="14">
        <v>4.2490000000000006</v>
      </c>
      <c r="J13" s="13">
        <v>219</v>
      </c>
      <c r="K13" s="13">
        <v>2725</v>
      </c>
      <c r="L13" s="23"/>
      <c r="M13" s="14">
        <f>IF(D2=0,0,0.31+0.42*D2/300)</f>
        <v>1.4300000000000002</v>
      </c>
      <c r="N13" s="14">
        <f>D2*$F$13/$E$13</f>
        <v>1.4426703108247623</v>
      </c>
    </row>
    <row r="14" spans="1:14" x14ac:dyDescent="0.45">
      <c r="A14" s="19" t="s">
        <v>11</v>
      </c>
      <c r="B14" s="14">
        <v>56.303368215168163</v>
      </c>
      <c r="C14" s="12">
        <v>0.28000000000000003</v>
      </c>
      <c r="D14" s="13">
        <v>50</v>
      </c>
      <c r="E14" s="14">
        <v>769.8</v>
      </c>
      <c r="F14" s="14">
        <v>1.1000000000000001</v>
      </c>
      <c r="G14" s="14">
        <v>0.6</v>
      </c>
      <c r="H14" s="14">
        <v>0.03</v>
      </c>
      <c r="I14" s="14">
        <v>5.6</v>
      </c>
      <c r="J14" s="13">
        <v>81</v>
      </c>
      <c r="K14" s="13">
        <v>2725</v>
      </c>
      <c r="L14" s="23"/>
      <c r="M14" s="27">
        <f>N14</f>
        <v>1.1431540659911668</v>
      </c>
      <c r="N14" s="14">
        <f>D2*$F$14/$E$14</f>
        <v>1.1431540659911668</v>
      </c>
    </row>
    <row r="15" spans="1:14" x14ac:dyDescent="0.45">
      <c r="A15" s="19" t="s">
        <v>12</v>
      </c>
      <c r="B15" s="14">
        <v>95.846705276431734</v>
      </c>
      <c r="C15" s="12">
        <v>0.14000000000000001</v>
      </c>
      <c r="D15" s="13">
        <v>59</v>
      </c>
      <c r="E15" s="14">
        <v>908</v>
      </c>
      <c r="F15" s="14">
        <v>1.6245204284140975</v>
      </c>
      <c r="G15" s="14">
        <v>1</v>
      </c>
      <c r="H15" s="14">
        <v>0.02</v>
      </c>
      <c r="I15" s="14">
        <v>7.8005376344085997</v>
      </c>
      <c r="J15" s="13">
        <v>117</v>
      </c>
      <c r="K15" s="13">
        <v>2725</v>
      </c>
      <c r="L15" s="23"/>
      <c r="M15" s="14">
        <f>IF(D2&lt;175,0,(D2-175)*0.67/300)</f>
        <v>1.3958333333333333</v>
      </c>
      <c r="N15" s="14">
        <f>D2*$F$15/$E$15</f>
        <v>1.4312955316423768</v>
      </c>
    </row>
    <row r="16" spans="1:14" x14ac:dyDescent="0.45">
      <c r="A16" s="19" t="s">
        <v>13</v>
      </c>
      <c r="B16" s="14">
        <v>92.743920846055332</v>
      </c>
      <c r="C16" s="12">
        <v>0.12</v>
      </c>
      <c r="D16" s="13">
        <v>61</v>
      </c>
      <c r="E16" s="14">
        <v>891.9</v>
      </c>
      <c r="F16" s="14">
        <v>1.5203921450173006</v>
      </c>
      <c r="G16" s="14">
        <v>0.87999999999999767</v>
      </c>
      <c r="H16" s="14">
        <v>0.01</v>
      </c>
      <c r="I16" s="14">
        <v>8.5446854838709658</v>
      </c>
      <c r="J16" s="13">
        <v>127</v>
      </c>
      <c r="K16" s="13">
        <v>2725</v>
      </c>
      <c r="L16" s="23"/>
      <c r="M16" s="14">
        <f>IF(D2&lt;160,0,(D2-160)*0.62/300)</f>
        <v>1.3226666666666667</v>
      </c>
      <c r="N16" s="14">
        <f>D2*$F$16/$E$16</f>
        <v>1.3637332840159664</v>
      </c>
    </row>
    <row r="17" spans="1:14" x14ac:dyDescent="0.45">
      <c r="A17" s="20" t="s">
        <v>44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f>SUM(M8:M16)</f>
        <v>21.110320732657829</v>
      </c>
      <c r="N17" s="21">
        <f>SUM(N8:N15)</f>
        <v>19.694602135662077</v>
      </c>
    </row>
    <row r="18" spans="1:14" x14ac:dyDescent="0.45">
      <c r="A18" s="30"/>
      <c r="B18" s="3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45">
      <c r="A19" s="25"/>
      <c r="B19" s="25"/>
      <c r="C19" s="32"/>
      <c r="D19" s="33"/>
      <c r="E19" s="27"/>
      <c r="F19" s="25" t="s">
        <v>36</v>
      </c>
      <c r="G19" s="34"/>
      <c r="H19" s="34"/>
      <c r="I19" s="34"/>
      <c r="J19" s="33"/>
      <c r="K19" s="33"/>
      <c r="L19" s="33"/>
      <c r="M19" s="25"/>
      <c r="N19" s="25"/>
    </row>
    <row r="20" spans="1:14" x14ac:dyDescent="0.45">
      <c r="C20" s="3"/>
      <c r="D20" s="4"/>
      <c r="E20" s="5"/>
      <c r="F20" s="5"/>
      <c r="G20" s="5"/>
      <c r="H20" s="5"/>
      <c r="I20" s="5"/>
      <c r="J20" s="4"/>
      <c r="K20" s="4"/>
      <c r="L20" s="4"/>
    </row>
    <row r="22" spans="1:14" x14ac:dyDescent="0.45">
      <c r="C22" s="3"/>
      <c r="D22" s="4"/>
      <c r="E22" s="5"/>
      <c r="F22" s="5"/>
      <c r="G22" s="5"/>
      <c r="H22" s="5"/>
      <c r="I22" s="5"/>
      <c r="J22" s="4"/>
      <c r="K22" s="4"/>
      <c r="L22" s="4"/>
    </row>
    <row r="24" spans="1:14" x14ac:dyDescent="0.45">
      <c r="C24" s="6"/>
      <c r="D24" s="4"/>
      <c r="E24" s="5"/>
      <c r="F24" s="5"/>
      <c r="G24" s="5"/>
      <c r="H24" s="5"/>
      <c r="I24" s="5"/>
      <c r="J24" s="4"/>
      <c r="K24" s="4"/>
      <c r="L24" s="4"/>
    </row>
    <row r="26" spans="1:14" x14ac:dyDescent="0.45">
      <c r="C26" s="3"/>
      <c r="D26" s="4"/>
      <c r="E26" s="5"/>
      <c r="F26" s="5"/>
      <c r="G26" s="5"/>
      <c r="H26" s="5"/>
      <c r="I26" s="5"/>
      <c r="J26" s="4"/>
      <c r="K26" s="4"/>
      <c r="L26" s="4"/>
    </row>
    <row r="28" spans="1:14" x14ac:dyDescent="0.45">
      <c r="C28" s="3"/>
      <c r="D28" s="4"/>
      <c r="E28" s="5"/>
      <c r="F28" s="5"/>
      <c r="G28" s="5"/>
      <c r="H28" s="5"/>
      <c r="I28" s="5"/>
      <c r="J28" s="4"/>
      <c r="K28" s="4"/>
      <c r="L28" s="4"/>
    </row>
    <row r="30" spans="1:14" x14ac:dyDescent="0.45">
      <c r="C30" s="3"/>
      <c r="D30" s="4"/>
      <c r="E30" s="5"/>
      <c r="F30" s="5"/>
      <c r="G30" s="5"/>
      <c r="H30" s="5"/>
      <c r="I30" s="5"/>
      <c r="J30" s="4"/>
      <c r="K30" s="4"/>
      <c r="L30" s="4"/>
    </row>
    <row r="32" spans="1:14" x14ac:dyDescent="0.45">
      <c r="C32" s="3"/>
      <c r="D32" s="4"/>
      <c r="E32" s="5"/>
      <c r="F32" s="5"/>
      <c r="G32" s="5"/>
      <c r="H32" s="5"/>
      <c r="I32" s="5"/>
      <c r="J32" s="4"/>
      <c r="K32" s="4"/>
      <c r="L32" s="4"/>
    </row>
  </sheetData>
  <mergeCells count="5">
    <mergeCell ref="M6:N6"/>
    <mergeCell ref="A6:A7"/>
    <mergeCell ref="B6:B7"/>
    <mergeCell ref="C6:C7"/>
    <mergeCell ref="D6:K6"/>
  </mergeCells>
  <pageMargins left="0.7" right="0.7" top="0.75" bottom="0.75" header="0.3" footer="0.3"/>
  <pageSetup paperSize="9" scale="9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20CC2-F648-4ED0-AC6F-F2C192527252}">
  <sheetPr>
    <tabColor rgb="FFC00000"/>
    <pageSetUpPr fitToPage="1"/>
  </sheetPr>
  <dimension ref="A1:N33"/>
  <sheetViews>
    <sheetView zoomScaleNormal="100" workbookViewId="0">
      <selection activeCell="C9" sqref="C9"/>
    </sheetView>
  </sheetViews>
  <sheetFormatPr baseColWidth="10" defaultColWidth="11.3984375" defaultRowHeight="14.25" x14ac:dyDescent="0.45"/>
  <cols>
    <col min="1" max="1" width="38" customWidth="1"/>
    <col min="2" max="4" width="10.1328125" customWidth="1"/>
    <col min="5" max="11" width="7.19921875" customWidth="1"/>
    <col min="12" max="12" width="1.73046875" customWidth="1"/>
    <col min="13" max="14" width="16.3984375" customWidth="1"/>
  </cols>
  <sheetData>
    <row r="1" spans="1:14" x14ac:dyDescent="0.45">
      <c r="A1" s="29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45">
      <c r="A2" s="25" t="s">
        <v>33</v>
      </c>
      <c r="B2" s="1"/>
      <c r="C2" s="2" t="s">
        <v>32</v>
      </c>
      <c r="D2" s="1">
        <v>1000</v>
      </c>
      <c r="E2" s="1"/>
      <c r="F2" s="1"/>
      <c r="G2" s="1"/>
      <c r="H2" s="2" t="s">
        <v>27</v>
      </c>
      <c r="I2" s="1">
        <v>100</v>
      </c>
      <c r="J2" s="25"/>
      <c r="K2" s="25"/>
      <c r="L2" s="25"/>
      <c r="M2" s="25"/>
      <c r="N2" s="25"/>
    </row>
    <row r="3" spans="1:14" x14ac:dyDescent="0.45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4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45">
      <c r="A6" s="46" t="s">
        <v>17</v>
      </c>
      <c r="B6" s="44" t="s">
        <v>21</v>
      </c>
      <c r="C6" s="44" t="s">
        <v>0</v>
      </c>
      <c r="D6" s="41" t="s">
        <v>20</v>
      </c>
      <c r="E6" s="41"/>
      <c r="F6" s="41"/>
      <c r="G6" s="41"/>
      <c r="H6" s="41"/>
      <c r="I6" s="41"/>
      <c r="J6" s="41"/>
      <c r="K6" s="41"/>
      <c r="L6" s="36"/>
      <c r="M6" s="41" t="s">
        <v>19</v>
      </c>
      <c r="N6" s="42"/>
    </row>
    <row r="7" spans="1:14" ht="70.150000000000006" customHeight="1" x14ac:dyDescent="0.45">
      <c r="A7" s="46"/>
      <c r="B7" s="45"/>
      <c r="C7" s="45"/>
      <c r="D7" s="37" t="s">
        <v>1</v>
      </c>
      <c r="E7" s="37" t="s">
        <v>24</v>
      </c>
      <c r="F7" s="37" t="s">
        <v>25</v>
      </c>
      <c r="G7" s="37" t="s">
        <v>26</v>
      </c>
      <c r="H7" s="37" t="s">
        <v>2</v>
      </c>
      <c r="I7" s="37" t="s">
        <v>3</v>
      </c>
      <c r="J7" s="37" t="s">
        <v>22</v>
      </c>
      <c r="K7" s="37" t="s">
        <v>23</v>
      </c>
      <c r="L7" s="38"/>
      <c r="M7" s="39" t="s">
        <v>41</v>
      </c>
      <c r="N7" s="40" t="s">
        <v>42</v>
      </c>
    </row>
    <row r="8" spans="1:14" x14ac:dyDescent="0.45">
      <c r="A8" s="10" t="s">
        <v>4</v>
      </c>
      <c r="B8" s="11">
        <v>241.97674360407777</v>
      </c>
      <c r="C8" s="12">
        <v>0.46726190476190477</v>
      </c>
      <c r="D8" s="13">
        <v>179</v>
      </c>
      <c r="E8" s="14">
        <v>1353.1675977653631</v>
      </c>
      <c r="F8" s="14">
        <v>1.3518253832630038</v>
      </c>
      <c r="G8" s="14">
        <v>1</v>
      </c>
      <c r="H8" s="14">
        <v>1.6129032258064488E-3</v>
      </c>
      <c r="I8" s="14">
        <v>6.0486111033625072</v>
      </c>
      <c r="J8" s="13">
        <v>75</v>
      </c>
      <c r="K8" s="13">
        <v>3553</v>
      </c>
      <c r="L8" s="23"/>
      <c r="M8" s="14">
        <f>IF(D2&lt;210,0,(D2-210)*0.59/500)</f>
        <v>0.93219999999999992</v>
      </c>
      <c r="N8" s="14">
        <f>$D$2*$F8/$E8</f>
        <v>0.9990080944115306</v>
      </c>
    </row>
    <row r="9" spans="1:14" s="7" customFormat="1" x14ac:dyDescent="0.45">
      <c r="A9" s="16" t="s">
        <v>5</v>
      </c>
      <c r="B9" s="17">
        <v>541.05812985683804</v>
      </c>
      <c r="C9" s="18">
        <v>0.24</v>
      </c>
      <c r="D9" s="13">
        <v>257</v>
      </c>
      <c r="E9" s="14">
        <v>1153</v>
      </c>
      <c r="F9" s="14">
        <v>2.6</v>
      </c>
      <c r="G9" s="14">
        <v>1.5142016129032232</v>
      </c>
      <c r="H9" s="14">
        <v>4.4166666666666597E-2</v>
      </c>
      <c r="I9" s="14">
        <v>17.636422939068098</v>
      </c>
      <c r="J9" s="13">
        <v>101</v>
      </c>
      <c r="K9" s="13">
        <v>3553</v>
      </c>
      <c r="L9" s="23"/>
      <c r="M9" s="14">
        <f>IF(D2&lt;420,0,(D2-420)*1.44/500)</f>
        <v>1.6703999999999999</v>
      </c>
      <c r="N9" s="14">
        <f>$D$2*$F9/$E9</f>
        <v>2.2549869904596704</v>
      </c>
    </row>
    <row r="10" spans="1:14" x14ac:dyDescent="0.45">
      <c r="A10" s="19" t="s">
        <v>6</v>
      </c>
      <c r="B10" s="14">
        <v>597.98901323684265</v>
      </c>
      <c r="C10" s="12">
        <v>0.13</v>
      </c>
      <c r="D10" s="13">
        <v>293</v>
      </c>
      <c r="E10" s="14">
        <v>1089.4000000000001</v>
      </c>
      <c r="F10" s="14">
        <v>2</v>
      </c>
      <c r="G10" s="14">
        <v>1.4</v>
      </c>
      <c r="H10" s="14">
        <v>3.1827956989247301E-3</v>
      </c>
      <c r="I10" s="14">
        <v>12.983614157706093</v>
      </c>
      <c r="J10" s="13">
        <v>101</v>
      </c>
      <c r="K10" s="13">
        <v>3553</v>
      </c>
      <c r="L10" s="23"/>
      <c r="M10" s="14">
        <f>IF(D2&lt;155,0,(D2-155)*1.09/500)</f>
        <v>1.8421000000000001</v>
      </c>
      <c r="N10" s="14">
        <f>$D$2*$F10/$E10</f>
        <v>1.8358729575913346</v>
      </c>
    </row>
    <row r="11" spans="1:14" x14ac:dyDescent="0.45">
      <c r="A11" s="19" t="s">
        <v>7</v>
      </c>
      <c r="B11" s="14">
        <v>2198.2000891769571</v>
      </c>
      <c r="C11" s="12">
        <v>0.01</v>
      </c>
      <c r="D11" s="13">
        <v>331</v>
      </c>
      <c r="E11" s="14">
        <v>1005.6555891238671</v>
      </c>
      <c r="F11" s="14">
        <v>6.641087882709849</v>
      </c>
      <c r="G11" s="14">
        <v>5.2765815164998058</v>
      </c>
      <c r="H11" s="14">
        <v>0.33440689655172412</v>
      </c>
      <c r="I11" s="14">
        <v>26.892763716813267</v>
      </c>
      <c r="J11" s="13">
        <v>75</v>
      </c>
      <c r="K11" s="13">
        <v>3553</v>
      </c>
      <c r="L11" s="23"/>
      <c r="M11" s="14">
        <f>IF(D2&lt;4,0,(D2-4)*1/150)</f>
        <v>6.64</v>
      </c>
      <c r="N11" s="14">
        <f>$D$2*$F11/$E11</f>
        <v>6.6037398434742478</v>
      </c>
    </row>
    <row r="12" spans="1:14" x14ac:dyDescent="0.45">
      <c r="A12" s="19" t="s">
        <v>8</v>
      </c>
      <c r="B12" s="14">
        <v>612.5985932502382</v>
      </c>
      <c r="C12" s="12">
        <v>0.05</v>
      </c>
      <c r="D12" s="13">
        <v>805</v>
      </c>
      <c r="E12" s="14">
        <v>73.400000000000006</v>
      </c>
      <c r="F12" s="14">
        <v>1.5</v>
      </c>
      <c r="G12" s="14">
        <v>1.1000000000000001</v>
      </c>
      <c r="H12" s="14">
        <v>0.01</v>
      </c>
      <c r="I12" s="14">
        <v>8.8000000000000007</v>
      </c>
      <c r="J12" s="13">
        <v>7</v>
      </c>
      <c r="K12" s="13">
        <v>424</v>
      </c>
      <c r="L12" s="23"/>
      <c r="M12" s="14">
        <f>IF(I2=0,0,0.23+0.51*I2/30)</f>
        <v>1.93</v>
      </c>
      <c r="N12" s="14">
        <f>I2*$F$12/$E$12</f>
        <v>2.0435967302452314</v>
      </c>
    </row>
    <row r="13" spans="1:14" x14ac:dyDescent="0.45">
      <c r="A13" s="19" t="s">
        <v>9</v>
      </c>
      <c r="B13" s="14">
        <v>1284.8465160553465</v>
      </c>
      <c r="C13" s="12">
        <v>0.01</v>
      </c>
      <c r="D13" s="13">
        <v>331</v>
      </c>
      <c r="E13" s="14">
        <v>1005.7</v>
      </c>
      <c r="F13" s="14">
        <v>3.9</v>
      </c>
      <c r="G13" s="14">
        <v>2.6811527777777777</v>
      </c>
      <c r="H13" s="14">
        <v>0.16</v>
      </c>
      <c r="I13" s="14">
        <v>18.246727187615885</v>
      </c>
      <c r="J13" s="13">
        <v>75</v>
      </c>
      <c r="K13" s="13">
        <v>3553</v>
      </c>
      <c r="L13" s="23"/>
      <c r="M13" s="14">
        <f>IF(D2&lt;125,0,(D2-125)*2.17/500)</f>
        <v>3.7974999999999999</v>
      </c>
      <c r="N13" s="14">
        <f>$D$2*$F13/$E13</f>
        <v>3.8778959928408074</v>
      </c>
    </row>
    <row r="14" spans="1:14" x14ac:dyDescent="0.45">
      <c r="A14" s="19" t="s">
        <v>10</v>
      </c>
      <c r="B14" s="14">
        <v>439.03533474313269</v>
      </c>
      <c r="C14" s="12">
        <v>0.03</v>
      </c>
      <c r="D14" s="13">
        <v>326</v>
      </c>
      <c r="E14" s="14">
        <v>1012.3</v>
      </c>
      <c r="F14" s="14">
        <v>1.3467341556537813</v>
      </c>
      <c r="G14" s="14">
        <v>1.0082010752688166</v>
      </c>
      <c r="H14" s="14">
        <v>4.9999999999999899E-2</v>
      </c>
      <c r="I14" s="14">
        <v>4.3599999999999994</v>
      </c>
      <c r="J14" s="13">
        <v>75</v>
      </c>
      <c r="K14" s="13">
        <v>3553</v>
      </c>
      <c r="L14" s="23"/>
      <c r="M14" s="14">
        <f>IF(D2=0,0,0.16+0.57*D2/500)</f>
        <v>1.2999999999999998</v>
      </c>
      <c r="N14" s="14">
        <f>$D$2*$F14/$E14</f>
        <v>1.3303705973069064</v>
      </c>
    </row>
    <row r="15" spans="1:14" x14ac:dyDescent="0.45">
      <c r="A15" s="19" t="s">
        <v>11</v>
      </c>
      <c r="B15" s="14">
        <v>594.20639517447933</v>
      </c>
      <c r="C15" s="12">
        <v>0.15</v>
      </c>
      <c r="D15" s="13">
        <v>284</v>
      </c>
      <c r="E15" s="14">
        <v>954.6</v>
      </c>
      <c r="F15" s="14">
        <v>2.1</v>
      </c>
      <c r="G15" s="14">
        <v>1.3</v>
      </c>
      <c r="H15" s="14">
        <v>0.04</v>
      </c>
      <c r="I15" s="14">
        <v>14.3</v>
      </c>
      <c r="J15" s="13">
        <v>75</v>
      </c>
      <c r="K15" s="13">
        <v>3553</v>
      </c>
      <c r="L15" s="23"/>
      <c r="M15" s="14">
        <f>IF(D2=0,0,0.51+0.83*D2/500)</f>
        <v>2.17</v>
      </c>
      <c r="N15" s="14">
        <f>$D$2*$F15/$E15</f>
        <v>2.1998742928975488</v>
      </c>
    </row>
    <row r="16" spans="1:14" x14ac:dyDescent="0.45">
      <c r="A16" s="19" t="s">
        <v>12</v>
      </c>
      <c r="B16" s="14">
        <v>378.82832441336598</v>
      </c>
      <c r="C16" s="12">
        <v>0.17</v>
      </c>
      <c r="D16" s="13">
        <v>278</v>
      </c>
      <c r="E16" s="14">
        <v>1119.5</v>
      </c>
      <c r="F16" s="14">
        <v>1.3626918144365683</v>
      </c>
      <c r="G16" s="14">
        <v>0.17898904109589001</v>
      </c>
      <c r="H16" s="14">
        <v>1.2365591397849401E-3</v>
      </c>
      <c r="I16" s="14">
        <v>6.7479999999999949</v>
      </c>
      <c r="J16" s="13">
        <v>75</v>
      </c>
      <c r="K16" s="13">
        <v>3553</v>
      </c>
      <c r="L16" s="23"/>
      <c r="M16" s="14">
        <f>IF(D2&lt;150,0,(D2-150)*0.7/500)</f>
        <v>1.19</v>
      </c>
      <c r="N16" s="14">
        <f>$D$2*$F16/$E16</f>
        <v>1.2172325274109588</v>
      </c>
    </row>
    <row r="17" spans="1:14" x14ac:dyDescent="0.45">
      <c r="A17" s="16" t="s">
        <v>13</v>
      </c>
      <c r="B17" s="14">
        <v>323.67087392880381</v>
      </c>
      <c r="C17" s="12">
        <v>0.16</v>
      </c>
      <c r="D17" s="13">
        <v>282</v>
      </c>
      <c r="E17" s="14">
        <v>1095.2</v>
      </c>
      <c r="F17" s="14">
        <v>1.1477690564851202</v>
      </c>
      <c r="G17" s="14">
        <v>0.59969569892473096</v>
      </c>
      <c r="H17" s="14">
        <v>1.0752688172043E-3</v>
      </c>
      <c r="I17" s="14">
        <v>6.8530255376344078</v>
      </c>
      <c r="J17" s="13">
        <v>75</v>
      </c>
      <c r="K17" s="13">
        <v>3553</v>
      </c>
      <c r="L17" s="23"/>
      <c r="M17" s="14">
        <f>IF(D2&lt;235,0,(D2-235)*0.67/500)</f>
        <v>1.0251000000000001</v>
      </c>
      <c r="N17" s="14">
        <f>$D$2*$F17/$E17</f>
        <v>1.047999503730022</v>
      </c>
    </row>
    <row r="18" spans="1:14" x14ac:dyDescent="0.45">
      <c r="A18" s="20" t="s">
        <v>43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f>SUM(M8:M17)</f>
        <v>22.497300000000003</v>
      </c>
      <c r="N18" s="21">
        <f>SUM(N8:N17)</f>
        <v>23.410577530368261</v>
      </c>
    </row>
    <row r="19" spans="1:14" x14ac:dyDescent="0.45">
      <c r="A19" s="24" t="s">
        <v>18</v>
      </c>
      <c r="B19" s="3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4"/>
      <c r="N19" s="35"/>
    </row>
    <row r="20" spans="1:14" x14ac:dyDescent="0.45">
      <c r="C20" s="3"/>
      <c r="D20" s="9"/>
      <c r="E20" s="5"/>
      <c r="F20" s="5"/>
      <c r="G20" s="5"/>
      <c r="H20" s="5"/>
      <c r="I20" s="5"/>
      <c r="J20" s="4"/>
      <c r="K20" s="4"/>
      <c r="L20" s="4"/>
    </row>
    <row r="21" spans="1:14" x14ac:dyDescent="0.45">
      <c r="A21" s="47"/>
      <c r="B21" s="47"/>
      <c r="C21" s="47"/>
      <c r="D21" s="47"/>
      <c r="E21" s="5"/>
      <c r="F21" s="5"/>
      <c r="G21" s="5"/>
      <c r="H21" s="5"/>
      <c r="I21" s="5"/>
      <c r="J21" s="4"/>
      <c r="K21" s="4"/>
      <c r="L21" s="4"/>
    </row>
    <row r="22" spans="1:14" x14ac:dyDescent="0.45">
      <c r="C22" s="3"/>
      <c r="D22" s="4"/>
      <c r="E22" s="5"/>
      <c r="F22" s="5"/>
      <c r="G22" s="5"/>
      <c r="H22" s="5"/>
      <c r="I22" s="5"/>
      <c r="J22" s="4"/>
      <c r="K22" s="4"/>
      <c r="L22" s="4"/>
    </row>
    <row r="23" spans="1:14" x14ac:dyDescent="0.45">
      <c r="A23" s="5"/>
      <c r="B23" s="5"/>
      <c r="C23" s="3"/>
      <c r="D23" s="4"/>
      <c r="E23" s="5"/>
      <c r="F23" s="5"/>
      <c r="G23" s="5"/>
      <c r="H23" s="5"/>
      <c r="I23" s="5"/>
      <c r="J23" s="4"/>
      <c r="K23" s="4"/>
      <c r="L23" s="4"/>
    </row>
    <row r="24" spans="1:14" x14ac:dyDescent="0.45">
      <c r="C24" s="3"/>
      <c r="D24" s="4"/>
      <c r="E24" s="5"/>
      <c r="F24" s="5"/>
      <c r="G24" s="5"/>
      <c r="H24" s="5"/>
      <c r="I24" s="5"/>
      <c r="J24" s="4"/>
      <c r="K24" s="4"/>
      <c r="L24" s="4"/>
    </row>
    <row r="25" spans="1:14" x14ac:dyDescent="0.45">
      <c r="A25" s="5"/>
      <c r="B25" s="5"/>
      <c r="C25" s="3"/>
      <c r="D25" s="4"/>
      <c r="E25" s="5"/>
      <c r="F25" s="5"/>
      <c r="G25" s="5"/>
      <c r="H25" s="5"/>
      <c r="I25" s="5"/>
      <c r="J25" s="4"/>
      <c r="K25" s="4"/>
      <c r="L25" s="4"/>
    </row>
    <row r="26" spans="1:14" x14ac:dyDescent="0.45">
      <c r="C26" s="6"/>
      <c r="D26" s="4"/>
      <c r="E26" s="5"/>
      <c r="F26" s="5"/>
      <c r="G26" s="5"/>
      <c r="H26" s="5"/>
      <c r="I26" s="5"/>
      <c r="J26" s="4"/>
      <c r="K26" s="4"/>
      <c r="L26" s="4"/>
    </row>
    <row r="27" spans="1:14" x14ac:dyDescent="0.45">
      <c r="A27" s="5"/>
      <c r="B27" s="5"/>
      <c r="C27" s="3"/>
      <c r="D27" s="4"/>
      <c r="E27" s="5"/>
      <c r="F27" s="5"/>
      <c r="G27" s="5"/>
      <c r="H27" s="5"/>
      <c r="I27" s="5"/>
      <c r="J27" s="4"/>
      <c r="K27" s="4"/>
      <c r="L27" s="4"/>
    </row>
    <row r="28" spans="1:14" x14ac:dyDescent="0.45">
      <c r="C28" s="3"/>
      <c r="D28" s="4"/>
      <c r="E28" s="5"/>
      <c r="F28" s="5"/>
      <c r="G28" s="5"/>
      <c r="H28" s="5"/>
      <c r="I28" s="5"/>
      <c r="J28" s="4"/>
      <c r="K28" s="4"/>
      <c r="L28" s="4"/>
    </row>
    <row r="29" spans="1:14" x14ac:dyDescent="0.45">
      <c r="A29" s="5"/>
      <c r="B29" s="5"/>
      <c r="C29" s="3"/>
      <c r="D29" s="4"/>
      <c r="E29" s="5"/>
      <c r="F29" s="5"/>
      <c r="G29" s="5"/>
      <c r="H29" s="5"/>
      <c r="I29" s="5"/>
      <c r="J29" s="4"/>
      <c r="K29" s="4"/>
      <c r="L29" s="4"/>
    </row>
    <row r="30" spans="1:14" x14ac:dyDescent="0.45">
      <c r="C30" s="3"/>
      <c r="D30" s="4"/>
      <c r="E30" s="5"/>
      <c r="F30" s="5"/>
      <c r="G30" s="5"/>
      <c r="H30" s="5"/>
      <c r="I30" s="5"/>
      <c r="J30" s="4"/>
      <c r="K30" s="4"/>
      <c r="L30" s="4"/>
    </row>
    <row r="31" spans="1:14" x14ac:dyDescent="0.45">
      <c r="A31" s="5"/>
      <c r="B31" s="5"/>
    </row>
    <row r="33" spans="1:12" x14ac:dyDescent="0.45">
      <c r="A33" s="5"/>
      <c r="B33" s="5"/>
      <c r="C33" s="5"/>
      <c r="D33" s="5"/>
      <c r="E33" s="5"/>
      <c r="F33" s="5"/>
      <c r="G33" s="5"/>
      <c r="H33" s="5"/>
      <c r="I33" s="5"/>
      <c r="J33" s="4"/>
      <c r="K33" s="4"/>
      <c r="L33" s="4"/>
    </row>
  </sheetData>
  <mergeCells count="6">
    <mergeCell ref="A21:D21"/>
    <mergeCell ref="M6:N6"/>
    <mergeCell ref="A6:A7"/>
    <mergeCell ref="B6:B7"/>
    <mergeCell ref="C6:C7"/>
    <mergeCell ref="D6:K6"/>
  </mergeCells>
  <pageMargins left="0.7" right="0.7" top="0.75" bottom="0.75" header="0.3" footer="0.3"/>
  <pageSetup paperSize="9" scale="8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F12137CB71B4E800428E3EF8BF9E6" ma:contentTypeVersion="16" ma:contentTypeDescription="Crée un document." ma:contentTypeScope="" ma:versionID="96bd3402b4bdf52e868395c2b60e3c37">
  <xsd:schema xmlns:xsd="http://www.w3.org/2001/XMLSchema" xmlns:xs="http://www.w3.org/2001/XMLSchema" xmlns:p="http://schemas.microsoft.com/office/2006/metadata/properties" xmlns:ns2="cca09a29-b3cc-4073-9554-62453c407f28" xmlns:ns3="1a22a3da-5fba-401d-a15f-7fb46969e527" targetNamespace="http://schemas.microsoft.com/office/2006/metadata/properties" ma:root="true" ma:fieldsID="ce7f28f1299debf6bf0eb9517e70c9d2" ns2:_="" ns3:_="">
    <xsd:import namespace="cca09a29-b3cc-4073-9554-62453c407f28"/>
    <xsd:import namespace="1a22a3da-5fba-401d-a15f-7fb46969e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09a29-b3cc-4073-9554-62453c407f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7819acf9-3f53-4112-8c6d-1653454e0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2a3da-5fba-401d-a15f-7fb46969e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44aaac-1075-4205-9cb6-59a4b1175d96}" ma:internalName="TaxCatchAll" ma:showField="CatchAllData" ma:web="1a22a3da-5fba-401d-a15f-7fb46969e5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a09a29-b3cc-4073-9554-62453c407f28">
      <Terms xmlns="http://schemas.microsoft.com/office/infopath/2007/PartnerControls"/>
    </lcf76f155ced4ddcb4097134ff3c332f>
    <TaxCatchAll xmlns="1a22a3da-5fba-401d-a15f-7fb46969e527" xsi:nil="true"/>
  </documentManagement>
</p:properties>
</file>

<file path=customXml/itemProps1.xml><?xml version="1.0" encoding="utf-8"?>
<ds:datastoreItem xmlns:ds="http://schemas.openxmlformats.org/officeDocument/2006/customXml" ds:itemID="{8D6FD8AF-24BD-43BD-9681-502FE1601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630DD-BE3E-45D9-8E4E-298EC93BD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09a29-b3cc-4073-9554-62453c407f28"/>
    <ds:schemaRef ds:uri="1a22a3da-5fba-401d-a15f-7fb46969e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05668E-F6B1-4994-8E0A-0669DE5C2113}">
  <ds:schemaRefs>
    <ds:schemaRef ds:uri="http://schemas.microsoft.com/office/2006/metadata/properties"/>
    <ds:schemaRef ds:uri="http://schemas.microsoft.com/office/infopath/2007/PartnerControls"/>
    <ds:schemaRef ds:uri="cca09a29-b3cc-4073-9554-62453c407f28"/>
    <ds:schemaRef ds:uri="1a22a3da-5fba-401d-a15f-7fb46969e5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Simulateur Ecole</vt:lpstr>
      <vt:lpstr>Simulateur 2nd degré isolé</vt:lpstr>
      <vt:lpstr>Simulateur Groupe scolaire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Clarisse WALCKENAER</dc:creator>
  <cp:lastModifiedBy>Clarisse WALCKENAER</cp:lastModifiedBy>
  <cp:lastPrinted>2022-03-28T18:35:58Z</cp:lastPrinted>
  <dcterms:created xsi:type="dcterms:W3CDTF">2022-03-25T11:52:45Z</dcterms:created>
  <dcterms:modified xsi:type="dcterms:W3CDTF">2022-03-29T20:07:16Z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0x010100903F12137CB71B4E800428E3EF8BF9E6</vt:lpwstr>
  </property>
  <property fmtid="{D5CDD505-2E9C-101B-9397-08002B2CF9AE}" pid="3" name="MediaServiceImageTags">
    <vt:lpwstr/>
  </property>
</Properties>
</file>